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81c447d7e734d44/Firma/Rozpočty/2021/02_Domov pro seniory Litomysl (Deltaplan Stepan)/rozpocet/_vypocty/"/>
    </mc:Choice>
  </mc:AlternateContent>
  <xr:revisionPtr revIDLastSave="7" documentId="13_ncr:1_{F8A16C5A-4243-4FC9-988E-2721763FBB4E}" xr6:coauthVersionLast="47" xr6:coauthVersionMax="47" xr10:uidLastSave="{7F2D2FAD-B786-4985-A5CE-88F2476E5FBC}"/>
  <bookViews>
    <workbookView xWindow="-108" yWindow="-108" windowWidth="23256" windowHeight="12576" tabRatio="888" activeTab="1" xr2:uid="{F957F52A-736B-4987-B368-D2DF2DD827F2}"/>
  </bookViews>
  <sheets>
    <sheet name="A2_Svislé konstrukce" sheetId="17" r:id="rId1"/>
    <sheet name="A2_Rekapitulace" sheetId="19" r:id="rId2"/>
    <sheet name="A2_Legenda" sheetId="18" r:id="rId3"/>
  </sheets>
  <definedNames>
    <definedName name="_xlnm._FilterDatabase" localSheetId="2" hidden="1">A2_Legenda!#REF!</definedName>
    <definedName name="_xlnm._FilterDatabase" localSheetId="1" hidden="1">A2_Rekapitulace!#REF!</definedName>
    <definedName name="_xlnm._FilterDatabase" localSheetId="0" hidden="1">'A2_Svislé konstrukce'!$A$2:$AU$716</definedName>
    <definedName name="_xlnm.Print_Titles" localSheetId="0">'A2_Svislé konstrukce'!$3:$8</definedName>
  </definedName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453" i="17" l="1"/>
  <c r="AP453" i="17" s="1"/>
  <c r="AU453" i="17"/>
  <c r="AT453" i="17"/>
  <c r="AS453" i="17"/>
  <c r="AR453" i="17"/>
  <c r="AQ453" i="17"/>
  <c r="AO453" i="17"/>
  <c r="AK453" i="17"/>
  <c r="AL453" i="17" s="1"/>
  <c r="M713" i="17"/>
  <c r="M712" i="17"/>
  <c r="AP712" i="17" s="1"/>
  <c r="AU715" i="17"/>
  <c r="AT715" i="17"/>
  <c r="AS715" i="17"/>
  <c r="AR715" i="17"/>
  <c r="AQ715" i="17"/>
  <c r="AP715" i="17"/>
  <c r="AO715" i="17"/>
  <c r="AK715" i="17"/>
  <c r="AL715" i="17" s="1"/>
  <c r="AU714" i="17"/>
  <c r="AT714" i="17"/>
  <c r="AS714" i="17"/>
  <c r="AR714" i="17"/>
  <c r="AQ714" i="17"/>
  <c r="AP714" i="17"/>
  <c r="AO714" i="17"/>
  <c r="AK714" i="17"/>
  <c r="AM714" i="17" s="1"/>
  <c r="AN714" i="17" s="1"/>
  <c r="AU713" i="17"/>
  <c r="AT713" i="17"/>
  <c r="AS713" i="17"/>
  <c r="AR713" i="17"/>
  <c r="AQ713" i="17"/>
  <c r="AP713" i="17"/>
  <c r="AO713" i="17"/>
  <c r="AK713" i="17"/>
  <c r="AU712" i="17"/>
  <c r="AT712" i="17"/>
  <c r="AS712" i="17"/>
  <c r="AR712" i="17"/>
  <c r="AQ712" i="17"/>
  <c r="AO712" i="17"/>
  <c r="AK712" i="17"/>
  <c r="AM712" i="17" s="1"/>
  <c r="AN712" i="17" s="1"/>
  <c r="J67" i="19"/>
  <c r="J84" i="19"/>
  <c r="J83" i="19"/>
  <c r="N692" i="17"/>
  <c r="N691" i="17"/>
  <c r="N690" i="17"/>
  <c r="N689" i="17"/>
  <c r="N688" i="17"/>
  <c r="N687" i="17"/>
  <c r="N686" i="17"/>
  <c r="N685" i="17"/>
  <c r="N684" i="17"/>
  <c r="N683" i="17"/>
  <c r="N682" i="17"/>
  <c r="N681" i="17"/>
  <c r="N680" i="17"/>
  <c r="N679" i="17"/>
  <c r="N678" i="17"/>
  <c r="N677" i="17"/>
  <c r="N676" i="17"/>
  <c r="N675" i="17"/>
  <c r="N674" i="17"/>
  <c r="N673" i="17"/>
  <c r="N672" i="17"/>
  <c r="N671" i="17"/>
  <c r="N670" i="17"/>
  <c r="N669" i="17"/>
  <c r="N668" i="17"/>
  <c r="N667" i="17"/>
  <c r="N666" i="17"/>
  <c r="N665" i="17"/>
  <c r="N664" i="17"/>
  <c r="N663" i="17"/>
  <c r="N662" i="17"/>
  <c r="N661" i="17"/>
  <c r="N660" i="17"/>
  <c r="N659" i="17"/>
  <c r="N658" i="17"/>
  <c r="N657" i="17"/>
  <c r="N656" i="17"/>
  <c r="N655" i="17"/>
  <c r="N654" i="17"/>
  <c r="N653" i="17"/>
  <c r="N652" i="17"/>
  <c r="N651" i="17"/>
  <c r="N650" i="17"/>
  <c r="N649" i="17"/>
  <c r="N648" i="17"/>
  <c r="N647" i="17"/>
  <c r="N646" i="17"/>
  <c r="N645" i="17"/>
  <c r="N644" i="17"/>
  <c r="N643" i="17"/>
  <c r="N642" i="17"/>
  <c r="N641" i="17"/>
  <c r="N640" i="17"/>
  <c r="N639" i="17"/>
  <c r="N638" i="17"/>
  <c r="N637" i="17"/>
  <c r="N636" i="17"/>
  <c r="N635" i="17"/>
  <c r="N634" i="17"/>
  <c r="N633" i="17"/>
  <c r="N632" i="17"/>
  <c r="N631" i="17"/>
  <c r="N630" i="17"/>
  <c r="N629" i="17"/>
  <c r="N628" i="17"/>
  <c r="N627" i="17"/>
  <c r="N626" i="17"/>
  <c r="N625" i="17"/>
  <c r="N624" i="17"/>
  <c r="N623" i="17"/>
  <c r="N622" i="17"/>
  <c r="N621" i="17"/>
  <c r="N620" i="17"/>
  <c r="N619" i="17"/>
  <c r="N618" i="17"/>
  <c r="N617" i="17"/>
  <c r="N616" i="17"/>
  <c r="N615" i="17"/>
  <c r="N614" i="17"/>
  <c r="N613" i="17"/>
  <c r="N612" i="17"/>
  <c r="N611" i="17"/>
  <c r="N610" i="17"/>
  <c r="N609" i="17"/>
  <c r="N608" i="17"/>
  <c r="N607" i="17"/>
  <c r="N606" i="17"/>
  <c r="N605" i="17"/>
  <c r="N604" i="17"/>
  <c r="N603" i="17"/>
  <c r="N602" i="17"/>
  <c r="N601" i="17"/>
  <c r="N600" i="17"/>
  <c r="N599" i="17"/>
  <c r="N598" i="17"/>
  <c r="N597" i="17"/>
  <c r="N596" i="17"/>
  <c r="N595" i="17"/>
  <c r="N594" i="17"/>
  <c r="N593" i="17"/>
  <c r="N592" i="17"/>
  <c r="N591" i="17"/>
  <c r="N590" i="17"/>
  <c r="N589" i="17"/>
  <c r="N588" i="17"/>
  <c r="N587" i="17"/>
  <c r="N586" i="17"/>
  <c r="N585" i="17"/>
  <c r="N584" i="17"/>
  <c r="N583" i="17"/>
  <c r="N582" i="17"/>
  <c r="N581" i="17"/>
  <c r="N580" i="17"/>
  <c r="N579" i="17"/>
  <c r="N578" i="17"/>
  <c r="N577" i="17"/>
  <c r="N576" i="17"/>
  <c r="N575" i="17"/>
  <c r="N574" i="17"/>
  <c r="N573" i="17"/>
  <c r="N572" i="17"/>
  <c r="N571" i="17"/>
  <c r="N570" i="17"/>
  <c r="N569" i="17"/>
  <c r="N568" i="17"/>
  <c r="N567" i="17"/>
  <c r="N566" i="17"/>
  <c r="N565" i="17"/>
  <c r="N564" i="17"/>
  <c r="N563" i="17"/>
  <c r="AO563" i="17" s="1"/>
  <c r="N562" i="17"/>
  <c r="N561" i="17"/>
  <c r="N560" i="17"/>
  <c r="N559" i="17"/>
  <c r="N558" i="17"/>
  <c r="N557" i="17"/>
  <c r="N556" i="17"/>
  <c r="N555" i="17"/>
  <c r="N554" i="17"/>
  <c r="N553" i="17"/>
  <c r="N552" i="17"/>
  <c r="N551" i="17"/>
  <c r="N550" i="17"/>
  <c r="N549" i="17"/>
  <c r="N548" i="17"/>
  <c r="N547" i="17"/>
  <c r="AO547" i="17" s="1"/>
  <c r="N546" i="17"/>
  <c r="N545" i="17"/>
  <c r="N544" i="17"/>
  <c r="N543" i="17"/>
  <c r="N542" i="17"/>
  <c r="N541" i="17"/>
  <c r="N540" i="17"/>
  <c r="N539" i="17"/>
  <c r="N538" i="17"/>
  <c r="N537" i="17"/>
  <c r="N536" i="17"/>
  <c r="N535" i="17"/>
  <c r="N534" i="17"/>
  <c r="N533" i="17"/>
  <c r="N532" i="17"/>
  <c r="N531" i="17"/>
  <c r="R681" i="17"/>
  <c r="R680" i="17"/>
  <c r="R679" i="17"/>
  <c r="R678" i="17"/>
  <c r="R676" i="17"/>
  <c r="R675" i="17"/>
  <c r="M675" i="17"/>
  <c r="R674" i="17"/>
  <c r="AK674" i="17" s="1"/>
  <c r="R672" i="17"/>
  <c r="R671" i="17"/>
  <c r="R670" i="17"/>
  <c r="R669" i="17"/>
  <c r="R667" i="17"/>
  <c r="R666" i="17"/>
  <c r="M666" i="17"/>
  <c r="R665" i="17"/>
  <c r="AK665" i="17" s="1"/>
  <c r="M665" i="17"/>
  <c r="M664" i="17"/>
  <c r="M660" i="17"/>
  <c r="M659" i="17"/>
  <c r="R658" i="17"/>
  <c r="M658" i="17"/>
  <c r="M657" i="17"/>
  <c r="M656" i="17"/>
  <c r="M655" i="17"/>
  <c r="M654" i="17"/>
  <c r="M653" i="17"/>
  <c r="R652" i="17"/>
  <c r="R651" i="17"/>
  <c r="R650" i="17"/>
  <c r="M650" i="17"/>
  <c r="R649" i="17"/>
  <c r="AK649" i="17" s="1"/>
  <c r="M649" i="17"/>
  <c r="R648" i="17"/>
  <c r="M648" i="17"/>
  <c r="R647" i="17"/>
  <c r="M647" i="17"/>
  <c r="R646" i="17"/>
  <c r="R645" i="17"/>
  <c r="M645" i="17"/>
  <c r="R644" i="17"/>
  <c r="M644" i="17"/>
  <c r="R643" i="17"/>
  <c r="M643" i="17"/>
  <c r="R642" i="17"/>
  <c r="R641" i="17"/>
  <c r="M641" i="17"/>
  <c r="R640" i="17"/>
  <c r="AK640" i="17" s="1"/>
  <c r="M640" i="17"/>
  <c r="M638" i="17"/>
  <c r="M635" i="17"/>
  <c r="M633" i="17"/>
  <c r="M631" i="17"/>
  <c r="M629" i="17"/>
  <c r="M626" i="17"/>
  <c r="M623" i="17"/>
  <c r="M622" i="17"/>
  <c r="M621" i="17"/>
  <c r="M619" i="17"/>
  <c r="M618" i="17"/>
  <c r="R616" i="17"/>
  <c r="R615" i="17"/>
  <c r="M614" i="17"/>
  <c r="M613" i="17"/>
  <c r="M612" i="17"/>
  <c r="M611" i="17"/>
  <c r="M610" i="17"/>
  <c r="R609" i="17"/>
  <c r="Q609" i="17"/>
  <c r="M609" i="17"/>
  <c r="M608" i="17"/>
  <c r="M607" i="17"/>
  <c r="R604" i="17"/>
  <c r="R603" i="17"/>
  <c r="R602" i="17"/>
  <c r="R601" i="17"/>
  <c r="R600" i="17"/>
  <c r="R599" i="17"/>
  <c r="R598" i="17"/>
  <c r="R596" i="17"/>
  <c r="AK596" i="17" s="1"/>
  <c r="R595" i="17"/>
  <c r="R594" i="17"/>
  <c r="R593" i="17"/>
  <c r="R592" i="17"/>
  <c r="R591" i="17"/>
  <c r="R590" i="17"/>
  <c r="R588" i="17"/>
  <c r="M576" i="17"/>
  <c r="M575" i="17"/>
  <c r="M573" i="17"/>
  <c r="M572" i="17"/>
  <c r="M571" i="17"/>
  <c r="M570" i="17"/>
  <c r="M569" i="17"/>
  <c r="M568" i="17"/>
  <c r="M567" i="17"/>
  <c r="R566" i="17"/>
  <c r="M566" i="17"/>
  <c r="R565" i="17"/>
  <c r="M565" i="17"/>
  <c r="R564" i="17"/>
  <c r="M564" i="17"/>
  <c r="R563" i="17"/>
  <c r="M563" i="17"/>
  <c r="R562" i="17"/>
  <c r="M562" i="17"/>
  <c r="M561" i="17"/>
  <c r="M560" i="17"/>
  <c r="R559" i="17"/>
  <c r="M559" i="17"/>
  <c r="R558" i="17"/>
  <c r="M558" i="17"/>
  <c r="R557" i="17"/>
  <c r="M557" i="17"/>
  <c r="R556" i="17"/>
  <c r="M556" i="17"/>
  <c r="R555" i="17"/>
  <c r="M555" i="17"/>
  <c r="R554" i="17"/>
  <c r="M554" i="17"/>
  <c r="M551" i="17"/>
  <c r="M546" i="17"/>
  <c r="M544" i="17"/>
  <c r="M542" i="17"/>
  <c r="M538" i="17"/>
  <c r="M537" i="17"/>
  <c r="M533" i="17"/>
  <c r="AU698" i="17"/>
  <c r="AT698" i="17"/>
  <c r="AS698" i="17"/>
  <c r="N698" i="17"/>
  <c r="AK698" i="17" s="1"/>
  <c r="AQ698" i="17"/>
  <c r="AP698" i="17"/>
  <c r="AU697" i="17"/>
  <c r="AT697" i="17"/>
  <c r="AS697" i="17"/>
  <c r="N697" i="17"/>
  <c r="AA697" i="17"/>
  <c r="AQ697" i="17"/>
  <c r="AP697" i="17"/>
  <c r="AU696" i="17"/>
  <c r="AT696" i="17"/>
  <c r="AS696" i="17"/>
  <c r="M696" i="17"/>
  <c r="AP696" i="17" s="1"/>
  <c r="N696" i="17"/>
  <c r="AC696" i="17" s="1"/>
  <c r="AR696" i="17" s="1"/>
  <c r="AQ696" i="17"/>
  <c r="AK696" i="17"/>
  <c r="AM696" i="17" s="1"/>
  <c r="AN696" i="17" s="1"/>
  <c r="AU695" i="17"/>
  <c r="AT695" i="17"/>
  <c r="AS695" i="17"/>
  <c r="N695" i="17"/>
  <c r="AC695" i="17"/>
  <c r="AR695" i="17" s="1"/>
  <c r="AQ695" i="17"/>
  <c r="AP695" i="17"/>
  <c r="AO695" i="17"/>
  <c r="AK695" i="17"/>
  <c r="AM695" i="17" s="1"/>
  <c r="AN695" i="17" s="1"/>
  <c r="AU694" i="17"/>
  <c r="AT694" i="17"/>
  <c r="AS694" i="17"/>
  <c r="AR694" i="17"/>
  <c r="AQ694" i="17"/>
  <c r="AP694" i="17"/>
  <c r="AO694" i="17"/>
  <c r="AK694" i="17"/>
  <c r="AM694" i="17" s="1"/>
  <c r="AN694" i="17" s="1"/>
  <c r="AU693" i="17"/>
  <c r="AT693" i="17"/>
  <c r="AS693" i="17"/>
  <c r="AR693" i="17"/>
  <c r="AQ693" i="17"/>
  <c r="AP693" i="17"/>
  <c r="AO693" i="17"/>
  <c r="AK693" i="17"/>
  <c r="AU692" i="17"/>
  <c r="AT692" i="17"/>
  <c r="AS692" i="17"/>
  <c r="AR692" i="17"/>
  <c r="AQ692" i="17"/>
  <c r="AP692" i="17"/>
  <c r="AO692" i="17"/>
  <c r="AK692" i="17"/>
  <c r="AM692" i="17" s="1"/>
  <c r="AN692" i="17" s="1"/>
  <c r="AU691" i="17"/>
  <c r="AT691" i="17"/>
  <c r="AS691" i="17"/>
  <c r="AR691" i="17"/>
  <c r="AQ691" i="17"/>
  <c r="AP691" i="17"/>
  <c r="AU690" i="17"/>
  <c r="AT690" i="17"/>
  <c r="AS690" i="17"/>
  <c r="AR690" i="17"/>
  <c r="AQ690" i="17"/>
  <c r="AP690" i="17"/>
  <c r="AO690" i="17"/>
  <c r="AK690" i="17"/>
  <c r="AM690" i="17" s="1"/>
  <c r="AN690" i="17" s="1"/>
  <c r="AU689" i="17"/>
  <c r="AT689" i="17"/>
  <c r="AS689" i="17"/>
  <c r="AR689" i="17"/>
  <c r="AQ689" i="17"/>
  <c r="AP689" i="17"/>
  <c r="AO689" i="17"/>
  <c r="AK689" i="17"/>
  <c r="AL689" i="17" s="1"/>
  <c r="AU688" i="17"/>
  <c r="AT688" i="17"/>
  <c r="AS688" i="17"/>
  <c r="AR688" i="17"/>
  <c r="AQ688" i="17"/>
  <c r="AP688" i="17"/>
  <c r="AO688" i="17"/>
  <c r="AK688" i="17"/>
  <c r="AM688" i="17" s="1"/>
  <c r="AN688" i="17" s="1"/>
  <c r="AU687" i="17"/>
  <c r="AT687" i="17"/>
  <c r="AS687" i="17"/>
  <c r="AR687" i="17"/>
  <c r="AQ687" i="17"/>
  <c r="AP687" i="17"/>
  <c r="AO687" i="17"/>
  <c r="AK687" i="17"/>
  <c r="AU686" i="17"/>
  <c r="AT686" i="17"/>
  <c r="AS686" i="17"/>
  <c r="AR686" i="17"/>
  <c r="AQ686" i="17"/>
  <c r="AP686" i="17"/>
  <c r="AO686" i="17"/>
  <c r="AK686" i="17"/>
  <c r="AM686" i="17" s="1"/>
  <c r="AN686" i="17" s="1"/>
  <c r="AU685" i="17"/>
  <c r="AT685" i="17"/>
  <c r="AS685" i="17"/>
  <c r="AR685" i="17"/>
  <c r="AQ685" i="17"/>
  <c r="AP685" i="17"/>
  <c r="AO685" i="17"/>
  <c r="AK685" i="17"/>
  <c r="AU684" i="17"/>
  <c r="AT684" i="17"/>
  <c r="AS684" i="17"/>
  <c r="AR684" i="17"/>
  <c r="AQ684" i="17"/>
  <c r="AP684" i="17"/>
  <c r="AO684" i="17"/>
  <c r="AK684" i="17"/>
  <c r="AL684" i="17" s="1"/>
  <c r="AU683" i="17"/>
  <c r="AT683" i="17"/>
  <c r="AS683" i="17"/>
  <c r="AR683" i="17"/>
  <c r="AQ683" i="17"/>
  <c r="AP683" i="17"/>
  <c r="AU437" i="17"/>
  <c r="AT437" i="17"/>
  <c r="AS437" i="17"/>
  <c r="AR437" i="17"/>
  <c r="AQ437" i="17"/>
  <c r="AP437" i="17"/>
  <c r="N437" i="17"/>
  <c r="M435" i="17"/>
  <c r="AU433" i="17"/>
  <c r="AT433" i="17"/>
  <c r="AS433" i="17"/>
  <c r="AR433" i="17"/>
  <c r="AQ433" i="17"/>
  <c r="AP433" i="17"/>
  <c r="N433" i="17"/>
  <c r="AO433" i="17" s="1"/>
  <c r="AU428" i="17"/>
  <c r="AT428" i="17"/>
  <c r="AS428" i="17"/>
  <c r="AR428" i="17"/>
  <c r="AQ428" i="17"/>
  <c r="AP428" i="17"/>
  <c r="N428" i="17"/>
  <c r="AO428" i="17" s="1"/>
  <c r="AK428" i="17"/>
  <c r="AM428" i="17" s="1"/>
  <c r="AN428" i="17" s="1"/>
  <c r="M409" i="17"/>
  <c r="M408" i="17"/>
  <c r="M407" i="17"/>
  <c r="M405" i="17"/>
  <c r="M404" i="17"/>
  <c r="M403" i="17"/>
  <c r="M401" i="17"/>
  <c r="M400" i="17"/>
  <c r="M368" i="17"/>
  <c r="M367" i="17"/>
  <c r="AU368" i="17"/>
  <c r="AT368" i="17"/>
  <c r="AS368" i="17"/>
  <c r="AR368" i="17"/>
  <c r="AQ368" i="17"/>
  <c r="N368" i="17"/>
  <c r="AO368" i="17"/>
  <c r="AU362" i="17"/>
  <c r="AT362" i="17"/>
  <c r="AS362" i="17"/>
  <c r="AR362" i="17"/>
  <c r="AQ362" i="17"/>
  <c r="AP362" i="17"/>
  <c r="N362" i="17"/>
  <c r="AU354" i="17"/>
  <c r="AT354" i="17"/>
  <c r="AS354" i="17"/>
  <c r="AR354" i="17"/>
  <c r="AQ354" i="17"/>
  <c r="AP354" i="17"/>
  <c r="N354" i="17"/>
  <c r="AO354" i="17" s="1"/>
  <c r="AU346" i="17"/>
  <c r="AT346" i="17"/>
  <c r="AS346" i="17"/>
  <c r="AR346" i="17"/>
  <c r="AQ346" i="17"/>
  <c r="AP346" i="17"/>
  <c r="N346" i="17"/>
  <c r="AO346" i="17"/>
  <c r="AK346" i="17"/>
  <c r="AM346" i="17" s="1"/>
  <c r="AN346" i="17" s="1"/>
  <c r="M323" i="17"/>
  <c r="M322" i="17"/>
  <c r="M321" i="17"/>
  <c r="M320" i="17"/>
  <c r="M319" i="17"/>
  <c r="M316" i="17"/>
  <c r="M315" i="17"/>
  <c r="M314" i="17"/>
  <c r="M313" i="17"/>
  <c r="M312" i="17"/>
  <c r="M311" i="17"/>
  <c r="AP311" i="17" s="1"/>
  <c r="AU539" i="17"/>
  <c r="AT539" i="17"/>
  <c r="AS539" i="17"/>
  <c r="AR539" i="17"/>
  <c r="AQ539" i="17"/>
  <c r="AP539" i="17"/>
  <c r="M295" i="17"/>
  <c r="AU296" i="17"/>
  <c r="AT296" i="17"/>
  <c r="AS296" i="17"/>
  <c r="AR296" i="17"/>
  <c r="AQ296" i="17"/>
  <c r="AP296" i="17"/>
  <c r="N296" i="17"/>
  <c r="AO296" i="17"/>
  <c r="AK296" i="17"/>
  <c r="R168" i="17"/>
  <c r="M169" i="17"/>
  <c r="M168" i="17"/>
  <c r="R166" i="17"/>
  <c r="M167" i="17"/>
  <c r="M166" i="17"/>
  <c r="AP166" i="17" s="1"/>
  <c r="AU167" i="17"/>
  <c r="AT167" i="17"/>
  <c r="AS167" i="17"/>
  <c r="AR167" i="17"/>
  <c r="AQ167" i="17"/>
  <c r="N167" i="17"/>
  <c r="AO167" i="17" s="1"/>
  <c r="AU166" i="17"/>
  <c r="AT166" i="17"/>
  <c r="AS166" i="17"/>
  <c r="AR166" i="17"/>
  <c r="AQ166" i="17"/>
  <c r="N166" i="17"/>
  <c r="AO166" i="17" s="1"/>
  <c r="M160" i="17"/>
  <c r="AU161" i="17"/>
  <c r="AT161" i="17"/>
  <c r="AS161" i="17"/>
  <c r="AR161" i="17"/>
  <c r="AQ161" i="17"/>
  <c r="AP161" i="17"/>
  <c r="N161" i="17"/>
  <c r="AK161" i="17" s="1"/>
  <c r="AO161" i="17"/>
  <c r="M153" i="17"/>
  <c r="AU154" i="17"/>
  <c r="AT154" i="17"/>
  <c r="AS154" i="17"/>
  <c r="AR154" i="17"/>
  <c r="AQ154" i="17"/>
  <c r="AP154" i="17"/>
  <c r="N154" i="17"/>
  <c r="AK154" i="17" s="1"/>
  <c r="AO154" i="17"/>
  <c r="M149" i="17"/>
  <c r="AU150" i="17"/>
  <c r="AT150" i="17"/>
  <c r="AS150" i="17"/>
  <c r="AR150" i="17"/>
  <c r="AQ150" i="17"/>
  <c r="AP150" i="17"/>
  <c r="N150" i="17"/>
  <c r="AO150" i="17"/>
  <c r="R150" i="17"/>
  <c r="M133" i="17"/>
  <c r="AU134" i="17"/>
  <c r="AT134" i="17"/>
  <c r="AS134" i="17"/>
  <c r="AR134" i="17"/>
  <c r="AQ134" i="17"/>
  <c r="AP134" i="17"/>
  <c r="N134" i="17"/>
  <c r="M120" i="17"/>
  <c r="M121" i="17"/>
  <c r="AU121" i="17"/>
  <c r="AT121" i="17"/>
  <c r="AS121" i="17"/>
  <c r="AR121" i="17"/>
  <c r="AQ121" i="17"/>
  <c r="N121" i="17"/>
  <c r="AO121" i="17" s="1"/>
  <c r="R121" i="17"/>
  <c r="M113" i="17"/>
  <c r="AP113" i="17" s="1"/>
  <c r="AU114" i="17"/>
  <c r="AT114" i="17"/>
  <c r="AS114" i="17"/>
  <c r="AR114" i="17"/>
  <c r="AQ114" i="17"/>
  <c r="AP114" i="17"/>
  <c r="N114" i="17"/>
  <c r="AO114" i="17" s="1"/>
  <c r="AU682" i="17"/>
  <c r="AT682" i="17"/>
  <c r="AS682" i="17"/>
  <c r="AR682" i="17"/>
  <c r="AQ682" i="17"/>
  <c r="AP682" i="17"/>
  <c r="AO682" i="17"/>
  <c r="AK682" i="17"/>
  <c r="AM682" i="17" s="1"/>
  <c r="AN682" i="17" s="1"/>
  <c r="AU681" i="17"/>
  <c r="AT681" i="17"/>
  <c r="AS681" i="17"/>
  <c r="AR681" i="17"/>
  <c r="AQ681" i="17"/>
  <c r="AP681" i="17"/>
  <c r="AO681" i="17"/>
  <c r="AK681" i="17"/>
  <c r="AM681" i="17" s="1"/>
  <c r="AN681" i="17" s="1"/>
  <c r="AU680" i="17"/>
  <c r="AT680" i="17"/>
  <c r="AS680" i="17"/>
  <c r="AR680" i="17"/>
  <c r="AQ680" i="17"/>
  <c r="AP680" i="17"/>
  <c r="AO680" i="17"/>
  <c r="AK680" i="17"/>
  <c r="AU679" i="17"/>
  <c r="AT679" i="17"/>
  <c r="AS679" i="17"/>
  <c r="AR679" i="17"/>
  <c r="AQ679" i="17"/>
  <c r="AP679" i="17"/>
  <c r="AO679" i="17"/>
  <c r="AK679" i="17"/>
  <c r="AL679" i="17" s="1"/>
  <c r="AU678" i="17"/>
  <c r="AT678" i="17"/>
  <c r="AS678" i="17"/>
  <c r="AR678" i="17"/>
  <c r="AQ678" i="17"/>
  <c r="AP678" i="17"/>
  <c r="AO678" i="17"/>
  <c r="AK678" i="17"/>
  <c r="AM678" i="17" s="1"/>
  <c r="AN678" i="17" s="1"/>
  <c r="AU677" i="17"/>
  <c r="AT677" i="17"/>
  <c r="AS677" i="17"/>
  <c r="AR677" i="17"/>
  <c r="AQ677" i="17"/>
  <c r="AP677" i="17"/>
  <c r="AO677" i="17"/>
  <c r="AK677" i="17"/>
  <c r="AM677" i="17" s="1"/>
  <c r="AN677" i="17" s="1"/>
  <c r="AU676" i="17"/>
  <c r="AT676" i="17"/>
  <c r="AS676" i="17"/>
  <c r="AR676" i="17"/>
  <c r="AQ676" i="17"/>
  <c r="AP676" i="17"/>
  <c r="AO676" i="17"/>
  <c r="AK676" i="17"/>
  <c r="AL676" i="17" s="1"/>
  <c r="AU675" i="17"/>
  <c r="AT675" i="17"/>
  <c r="AS675" i="17"/>
  <c r="AR675" i="17"/>
  <c r="AQ675" i="17"/>
  <c r="AP675" i="17"/>
  <c r="AU674" i="17"/>
  <c r="AT674" i="17"/>
  <c r="AS674" i="17"/>
  <c r="AR674" i="17"/>
  <c r="AQ674" i="17"/>
  <c r="AP674" i="17"/>
  <c r="AO674" i="17"/>
  <c r="AU673" i="17"/>
  <c r="AT673" i="17"/>
  <c r="AS673" i="17"/>
  <c r="AR673" i="17"/>
  <c r="AQ673" i="17"/>
  <c r="AP673" i="17"/>
  <c r="AO673" i="17"/>
  <c r="AK673" i="17"/>
  <c r="AM673" i="17" s="1"/>
  <c r="AN673" i="17" s="1"/>
  <c r="AU672" i="17"/>
  <c r="AT672" i="17"/>
  <c r="AS672" i="17"/>
  <c r="AR672" i="17"/>
  <c r="AQ672" i="17"/>
  <c r="AP672" i="17"/>
  <c r="AO672" i="17"/>
  <c r="AK672" i="17"/>
  <c r="M420" i="17"/>
  <c r="M419" i="17"/>
  <c r="M416" i="17"/>
  <c r="M415" i="17"/>
  <c r="M414" i="17"/>
  <c r="M413" i="17"/>
  <c r="AU380" i="17"/>
  <c r="AT380" i="17"/>
  <c r="AS380" i="17"/>
  <c r="AR380" i="17"/>
  <c r="AQ380" i="17"/>
  <c r="AP380" i="17"/>
  <c r="N380" i="17"/>
  <c r="M370" i="17"/>
  <c r="Q369" i="17"/>
  <c r="M369" i="17"/>
  <c r="AU338" i="17"/>
  <c r="AT338" i="17"/>
  <c r="AS338" i="17"/>
  <c r="AR338" i="17"/>
  <c r="AQ338" i="17"/>
  <c r="AP338" i="17"/>
  <c r="AO338" i="17"/>
  <c r="AK338" i="17"/>
  <c r="AU445" i="17"/>
  <c r="AT445" i="17"/>
  <c r="AS445" i="17"/>
  <c r="AR445" i="17"/>
  <c r="AQ445" i="17"/>
  <c r="AP445" i="17"/>
  <c r="AO445" i="17"/>
  <c r="AK445" i="17"/>
  <c r="AL445" i="17" s="1"/>
  <c r="AU447" i="17"/>
  <c r="AT447" i="17"/>
  <c r="AS447" i="17"/>
  <c r="AR447" i="17"/>
  <c r="AQ447" i="17"/>
  <c r="AP447" i="17"/>
  <c r="AO447" i="17"/>
  <c r="AK447" i="17"/>
  <c r="AM447" i="17" s="1"/>
  <c r="AN447" i="17" s="1"/>
  <c r="AU444" i="17"/>
  <c r="AT444" i="17"/>
  <c r="AS444" i="17"/>
  <c r="AR444" i="17"/>
  <c r="AQ444" i="17"/>
  <c r="AP444" i="17"/>
  <c r="AO444" i="17"/>
  <c r="AK444" i="17"/>
  <c r="AM444" i="17" s="1"/>
  <c r="AN444" i="17" s="1"/>
  <c r="AU340" i="17"/>
  <c r="AT340" i="17"/>
  <c r="AS340" i="17"/>
  <c r="AR340" i="17"/>
  <c r="AQ340" i="17"/>
  <c r="AP340" i="17"/>
  <c r="AO340" i="17"/>
  <c r="AK340" i="17"/>
  <c r="AL340" i="17" s="1"/>
  <c r="AU337" i="17"/>
  <c r="AT337" i="17"/>
  <c r="AS337" i="17"/>
  <c r="AR337" i="17"/>
  <c r="AQ337" i="17"/>
  <c r="AP337" i="17"/>
  <c r="AO337" i="17"/>
  <c r="AK337" i="17"/>
  <c r="AM337" i="17" s="1"/>
  <c r="AN337" i="17" s="1"/>
  <c r="M333" i="17"/>
  <c r="M332" i="17"/>
  <c r="M330" i="17"/>
  <c r="M329" i="17"/>
  <c r="M328" i="17"/>
  <c r="M327" i="17"/>
  <c r="M326" i="17"/>
  <c r="M325" i="17"/>
  <c r="M324" i="17"/>
  <c r="M318" i="17"/>
  <c r="AU318" i="17"/>
  <c r="AT318" i="17"/>
  <c r="AS318" i="17"/>
  <c r="AR318" i="17"/>
  <c r="AQ318" i="17"/>
  <c r="AP318" i="17"/>
  <c r="N318" i="17"/>
  <c r="AO318" i="17"/>
  <c r="AK318" i="17"/>
  <c r="AU293" i="17"/>
  <c r="AT293" i="17"/>
  <c r="AS293" i="17"/>
  <c r="AR293" i="17"/>
  <c r="AQ293" i="17"/>
  <c r="AP293" i="17"/>
  <c r="N293" i="17"/>
  <c r="AO293" i="17"/>
  <c r="AK293" i="17"/>
  <c r="AM293" i="17" s="1"/>
  <c r="AN293" i="17" s="1"/>
  <c r="T147" i="17"/>
  <c r="U147" i="17"/>
  <c r="M145" i="17"/>
  <c r="AP145" i="17" s="1"/>
  <c r="AU145" i="17"/>
  <c r="AT145" i="17"/>
  <c r="AS145" i="17"/>
  <c r="AR145" i="17"/>
  <c r="AQ145" i="17"/>
  <c r="N145" i="17"/>
  <c r="AO145" i="17" s="1"/>
  <c r="AK145" i="17"/>
  <c r="M111" i="17"/>
  <c r="M102" i="17"/>
  <c r="M87" i="17"/>
  <c r="M140" i="17"/>
  <c r="M139" i="17"/>
  <c r="T140" i="17"/>
  <c r="U140" i="17"/>
  <c r="Q140" i="17"/>
  <c r="M141" i="17"/>
  <c r="M99" i="17"/>
  <c r="AP99" i="17" s="1"/>
  <c r="AU99" i="17"/>
  <c r="AT99" i="17"/>
  <c r="AS99" i="17"/>
  <c r="AR99" i="17"/>
  <c r="AQ99" i="17"/>
  <c r="N99" i="17"/>
  <c r="AO99" i="17" s="1"/>
  <c r="AU97" i="17"/>
  <c r="AT97" i="17"/>
  <c r="AS97" i="17"/>
  <c r="AR97" i="17"/>
  <c r="AQ97" i="17"/>
  <c r="M97" i="17"/>
  <c r="AP97" i="17"/>
  <c r="N97" i="17"/>
  <c r="AO97" i="17" s="1"/>
  <c r="R97" i="17"/>
  <c r="M96" i="17"/>
  <c r="AU670" i="17"/>
  <c r="AT670" i="17"/>
  <c r="AS670" i="17"/>
  <c r="AR670" i="17"/>
  <c r="AQ670" i="17"/>
  <c r="AP670" i="17"/>
  <c r="AO670" i="17"/>
  <c r="AK670" i="17"/>
  <c r="AU669" i="17"/>
  <c r="AT669" i="17"/>
  <c r="AS669" i="17"/>
  <c r="AR669" i="17"/>
  <c r="AQ669" i="17"/>
  <c r="AP669" i="17"/>
  <c r="AO669" i="17"/>
  <c r="AK669" i="17"/>
  <c r="AU668" i="17"/>
  <c r="AT668" i="17"/>
  <c r="AS668" i="17"/>
  <c r="AR668" i="17"/>
  <c r="AQ668" i="17"/>
  <c r="AP668" i="17"/>
  <c r="AO668" i="17"/>
  <c r="AK668" i="17"/>
  <c r="AM668" i="17" s="1"/>
  <c r="AN668" i="17" s="1"/>
  <c r="AU667" i="17"/>
  <c r="AT667" i="17"/>
  <c r="AS667" i="17"/>
  <c r="AR667" i="17"/>
  <c r="AQ667" i="17"/>
  <c r="AP667" i="17"/>
  <c r="AU666" i="17"/>
  <c r="AT666" i="17"/>
  <c r="AS666" i="17"/>
  <c r="AR666" i="17"/>
  <c r="AQ666" i="17"/>
  <c r="AP666" i="17"/>
  <c r="AO666" i="17"/>
  <c r="AK666" i="17"/>
  <c r="AL666" i="17" s="1"/>
  <c r="AU665" i="17"/>
  <c r="AT665" i="17"/>
  <c r="AS665" i="17"/>
  <c r="AR665" i="17"/>
  <c r="AQ665" i="17"/>
  <c r="AP665" i="17"/>
  <c r="AO665" i="17"/>
  <c r="AU664" i="17"/>
  <c r="AT664" i="17"/>
  <c r="AS664" i="17"/>
  <c r="AR664" i="17"/>
  <c r="AQ664" i="17"/>
  <c r="AP664" i="17"/>
  <c r="AO664" i="17"/>
  <c r="AK664" i="17"/>
  <c r="AM664" i="17" s="1"/>
  <c r="AN664" i="17" s="1"/>
  <c r="AU663" i="17"/>
  <c r="AT663" i="17"/>
  <c r="AS663" i="17"/>
  <c r="AR663" i="17"/>
  <c r="AQ663" i="17"/>
  <c r="AP663" i="17"/>
  <c r="AO663" i="17"/>
  <c r="AK663" i="17"/>
  <c r="AM663" i="17" s="1"/>
  <c r="AN663" i="17" s="1"/>
  <c r="AU662" i="17"/>
  <c r="AT662" i="17"/>
  <c r="AS662" i="17"/>
  <c r="AR662" i="17"/>
  <c r="AQ662" i="17"/>
  <c r="AP662" i="17"/>
  <c r="AO662" i="17"/>
  <c r="AK662" i="17"/>
  <c r="AU661" i="17"/>
  <c r="AT661" i="17"/>
  <c r="AS661" i="17"/>
  <c r="AR661" i="17"/>
  <c r="AQ661" i="17"/>
  <c r="AP661" i="17"/>
  <c r="AO661" i="17"/>
  <c r="AK661" i="17"/>
  <c r="AL661" i="17" s="1"/>
  <c r="AU660" i="17"/>
  <c r="AT660" i="17"/>
  <c r="AS660" i="17"/>
  <c r="AR660" i="17"/>
  <c r="AQ660" i="17"/>
  <c r="AP660" i="17"/>
  <c r="AO660" i="17"/>
  <c r="AK660" i="17"/>
  <c r="AM660" i="17" s="1"/>
  <c r="AN660" i="17" s="1"/>
  <c r="AU659" i="17"/>
  <c r="AT659" i="17"/>
  <c r="AS659" i="17"/>
  <c r="AR659" i="17"/>
  <c r="AQ659" i="17"/>
  <c r="AP659" i="17"/>
  <c r="AU658" i="17"/>
  <c r="AT658" i="17"/>
  <c r="AS658" i="17"/>
  <c r="AR658" i="17"/>
  <c r="AQ658" i="17"/>
  <c r="AP658" i="17"/>
  <c r="AO658" i="17"/>
  <c r="AK658" i="17"/>
  <c r="AL658" i="17" s="1"/>
  <c r="AU657" i="17"/>
  <c r="AT657" i="17"/>
  <c r="AS657" i="17"/>
  <c r="AR657" i="17"/>
  <c r="AQ657" i="17"/>
  <c r="AP657" i="17"/>
  <c r="AO657" i="17"/>
  <c r="AK657" i="17"/>
  <c r="AM657" i="17" s="1"/>
  <c r="AN657" i="17" s="1"/>
  <c r="AU656" i="17"/>
  <c r="AT656" i="17"/>
  <c r="AS656" i="17"/>
  <c r="AR656" i="17"/>
  <c r="AQ656" i="17"/>
  <c r="AO656" i="17"/>
  <c r="AU655" i="17"/>
  <c r="AT655" i="17"/>
  <c r="AS655" i="17"/>
  <c r="AR655" i="17"/>
  <c r="AQ655" i="17"/>
  <c r="AP655" i="17"/>
  <c r="AO655" i="17"/>
  <c r="AK655" i="17"/>
  <c r="AM655" i="17" s="1"/>
  <c r="AN655" i="17" s="1"/>
  <c r="AU654" i="17"/>
  <c r="AT654" i="17"/>
  <c r="AS654" i="17"/>
  <c r="AR654" i="17"/>
  <c r="AQ654" i="17"/>
  <c r="AP654" i="17"/>
  <c r="AO654" i="17"/>
  <c r="AK654" i="17"/>
  <c r="AU653" i="17"/>
  <c r="AT653" i="17"/>
  <c r="AS653" i="17"/>
  <c r="AR653" i="17"/>
  <c r="AQ653" i="17"/>
  <c r="AP653" i="17"/>
  <c r="AO653" i="17"/>
  <c r="AK653" i="17"/>
  <c r="AL653" i="17" s="1"/>
  <c r="AU652" i="17"/>
  <c r="AT652" i="17"/>
  <c r="AS652" i="17"/>
  <c r="AR652" i="17"/>
  <c r="AQ652" i="17"/>
  <c r="AP652" i="17"/>
  <c r="AO652" i="17"/>
  <c r="AK652" i="17"/>
  <c r="AM652" i="17" s="1"/>
  <c r="AN652" i="17" s="1"/>
  <c r="AU651" i="17"/>
  <c r="AT651" i="17"/>
  <c r="AS651" i="17"/>
  <c r="AR651" i="17"/>
  <c r="AQ651" i="17"/>
  <c r="AP651" i="17"/>
  <c r="AU650" i="17"/>
  <c r="AT650" i="17"/>
  <c r="AS650" i="17"/>
  <c r="AR650" i="17"/>
  <c r="AQ650" i="17"/>
  <c r="AP650" i="17"/>
  <c r="AO650" i="17"/>
  <c r="AK650" i="17"/>
  <c r="AL650" i="17" s="1"/>
  <c r="AU649" i="17"/>
  <c r="AT649" i="17"/>
  <c r="AS649" i="17"/>
  <c r="AR649" i="17"/>
  <c r="AQ649" i="17"/>
  <c r="AP649" i="17"/>
  <c r="AO649" i="17"/>
  <c r="AU648" i="17"/>
  <c r="AT648" i="17"/>
  <c r="AS648" i="17"/>
  <c r="AR648" i="17"/>
  <c r="AQ648" i="17"/>
  <c r="AP648" i="17"/>
  <c r="AO648" i="17"/>
  <c r="AK648" i="17"/>
  <c r="AM648" i="17" s="1"/>
  <c r="AN648" i="17" s="1"/>
  <c r="AU647" i="17"/>
  <c r="AT647" i="17"/>
  <c r="AS647" i="17"/>
  <c r="AR647" i="17"/>
  <c r="AQ647" i="17"/>
  <c r="AP647" i="17"/>
  <c r="AO647" i="17"/>
  <c r="AK647" i="17"/>
  <c r="AM647" i="17" s="1"/>
  <c r="AN647" i="17" s="1"/>
  <c r="AU646" i="17"/>
  <c r="AT646" i="17"/>
  <c r="AS646" i="17"/>
  <c r="AR646" i="17"/>
  <c r="AQ646" i="17"/>
  <c r="AP646" i="17"/>
  <c r="AO646" i="17"/>
  <c r="AK646" i="17"/>
  <c r="AU645" i="17"/>
  <c r="AT645" i="17"/>
  <c r="AS645" i="17"/>
  <c r="AR645" i="17"/>
  <c r="AQ645" i="17"/>
  <c r="AO645" i="17"/>
  <c r="AU644" i="17"/>
  <c r="AT644" i="17"/>
  <c r="AS644" i="17"/>
  <c r="AR644" i="17"/>
  <c r="AQ644" i="17"/>
  <c r="AP644" i="17"/>
  <c r="AO644" i="17"/>
  <c r="AK644" i="17"/>
  <c r="AM644" i="17" s="1"/>
  <c r="AN644" i="17" s="1"/>
  <c r="AU643" i="17"/>
  <c r="AT643" i="17"/>
  <c r="AS643" i="17"/>
  <c r="AR643" i="17"/>
  <c r="AQ643" i="17"/>
  <c r="AP643" i="17"/>
  <c r="AU642" i="17"/>
  <c r="AT642" i="17"/>
  <c r="AS642" i="17"/>
  <c r="AR642" i="17"/>
  <c r="AQ642" i="17"/>
  <c r="AP642" i="17"/>
  <c r="AO642" i="17"/>
  <c r="AK642" i="17"/>
  <c r="AL642" i="17" s="1"/>
  <c r="AU641" i="17"/>
  <c r="AT641" i="17"/>
  <c r="AS641" i="17"/>
  <c r="AR641" i="17"/>
  <c r="AQ641" i="17"/>
  <c r="AP641" i="17"/>
  <c r="AO641" i="17"/>
  <c r="AK641" i="17"/>
  <c r="AM641" i="17" s="1"/>
  <c r="AN641" i="17" s="1"/>
  <c r="AU640" i="17"/>
  <c r="AT640" i="17"/>
  <c r="AS640" i="17"/>
  <c r="AR640" i="17"/>
  <c r="AQ640" i="17"/>
  <c r="AP640" i="17"/>
  <c r="AO640" i="17"/>
  <c r="AU639" i="17"/>
  <c r="AT639" i="17"/>
  <c r="AS639" i="17"/>
  <c r="AR639" i="17"/>
  <c r="AQ639" i="17"/>
  <c r="AP639" i="17"/>
  <c r="AO639" i="17"/>
  <c r="AK639" i="17"/>
  <c r="AM639" i="17" s="1"/>
  <c r="AN639" i="17" s="1"/>
  <c r="AU638" i="17"/>
  <c r="AT638" i="17"/>
  <c r="AS638" i="17"/>
  <c r="AR638" i="17"/>
  <c r="AQ638" i="17"/>
  <c r="AP638" i="17"/>
  <c r="AO638" i="17"/>
  <c r="AK638" i="17"/>
  <c r="AU637" i="17"/>
  <c r="AT637" i="17"/>
  <c r="AS637" i="17"/>
  <c r="AR637" i="17"/>
  <c r="AQ637" i="17"/>
  <c r="AP637" i="17"/>
  <c r="AO637" i="17"/>
  <c r="AK637" i="17"/>
  <c r="AU636" i="17"/>
  <c r="AT636" i="17"/>
  <c r="AS636" i="17"/>
  <c r="AR636" i="17"/>
  <c r="AQ636" i="17"/>
  <c r="AP636" i="17"/>
  <c r="AO636" i="17"/>
  <c r="AK636" i="17"/>
  <c r="AM636" i="17" s="1"/>
  <c r="AN636" i="17" s="1"/>
  <c r="AU635" i="17"/>
  <c r="AT635" i="17"/>
  <c r="AS635" i="17"/>
  <c r="AR635" i="17"/>
  <c r="AQ635" i="17"/>
  <c r="AP635" i="17"/>
  <c r="AU634" i="17"/>
  <c r="AT634" i="17"/>
  <c r="AS634" i="17"/>
  <c r="AR634" i="17"/>
  <c r="AQ634" i="17"/>
  <c r="AP634" i="17"/>
  <c r="AO634" i="17"/>
  <c r="AK634" i="17"/>
  <c r="AL634" i="17" s="1"/>
  <c r="AM634" i="17"/>
  <c r="AN634" i="17" s="1"/>
  <c r="AU633" i="17"/>
  <c r="AT633" i="17"/>
  <c r="AS633" i="17"/>
  <c r="AR633" i="17"/>
  <c r="AQ633" i="17"/>
  <c r="AP633" i="17"/>
  <c r="AO633" i="17"/>
  <c r="AK633" i="17"/>
  <c r="AM633" i="17" s="1"/>
  <c r="AN633" i="17" s="1"/>
  <c r="AU632" i="17"/>
  <c r="AT632" i="17"/>
  <c r="AS632" i="17"/>
  <c r="AR632" i="17"/>
  <c r="AQ632" i="17"/>
  <c r="AP632" i="17"/>
  <c r="AO632" i="17"/>
  <c r="AK632" i="17"/>
  <c r="AM632" i="17" s="1"/>
  <c r="AN632" i="17" s="1"/>
  <c r="AU631" i="17"/>
  <c r="AT631" i="17"/>
  <c r="AS631" i="17"/>
  <c r="AR631" i="17"/>
  <c r="AQ631" i="17"/>
  <c r="AP631" i="17"/>
  <c r="AO631" i="17"/>
  <c r="AK631" i="17"/>
  <c r="AM631" i="17" s="1"/>
  <c r="AN631" i="17" s="1"/>
  <c r="AU630" i="17"/>
  <c r="AT630" i="17"/>
  <c r="AS630" i="17"/>
  <c r="AR630" i="17"/>
  <c r="AQ630" i="17"/>
  <c r="AP630" i="17"/>
  <c r="AO630" i="17"/>
  <c r="AK630" i="17"/>
  <c r="AU629" i="17"/>
  <c r="AT629" i="17"/>
  <c r="AS629" i="17"/>
  <c r="AR629" i="17"/>
  <c r="AQ629" i="17"/>
  <c r="AP629" i="17"/>
  <c r="AO629" i="17"/>
  <c r="AK629" i="17"/>
  <c r="AU628" i="17"/>
  <c r="AT628" i="17"/>
  <c r="AS628" i="17"/>
  <c r="AR628" i="17"/>
  <c r="AQ628" i="17"/>
  <c r="AP628" i="17"/>
  <c r="AO628" i="17"/>
  <c r="AK628" i="17"/>
  <c r="AM628" i="17" s="1"/>
  <c r="AN628" i="17" s="1"/>
  <c r="AU627" i="17"/>
  <c r="AT627" i="17"/>
  <c r="AS627" i="17"/>
  <c r="AR627" i="17"/>
  <c r="AQ627" i="17"/>
  <c r="AP627" i="17"/>
  <c r="AU626" i="17"/>
  <c r="AT626" i="17"/>
  <c r="AS626" i="17"/>
  <c r="AR626" i="17"/>
  <c r="AQ626" i="17"/>
  <c r="AP626" i="17"/>
  <c r="AO626" i="17"/>
  <c r="AK626" i="17"/>
  <c r="AL626" i="17" s="1"/>
  <c r="AU625" i="17"/>
  <c r="AT625" i="17"/>
  <c r="AS625" i="17"/>
  <c r="AR625" i="17"/>
  <c r="AQ625" i="17"/>
  <c r="AP625" i="17"/>
  <c r="AO625" i="17"/>
  <c r="AK625" i="17"/>
  <c r="AM625" i="17" s="1"/>
  <c r="AN625" i="17" s="1"/>
  <c r="AU624" i="17"/>
  <c r="AT624" i="17"/>
  <c r="AS624" i="17"/>
  <c r="AR624" i="17"/>
  <c r="AQ624" i="17"/>
  <c r="AP624" i="17"/>
  <c r="AO624" i="17"/>
  <c r="AK624" i="17"/>
  <c r="AM624" i="17" s="1"/>
  <c r="AN624" i="17" s="1"/>
  <c r="AU623" i="17"/>
  <c r="AT623" i="17"/>
  <c r="AS623" i="17"/>
  <c r="AR623" i="17"/>
  <c r="AQ623" i="17"/>
  <c r="AO623" i="17"/>
  <c r="AU622" i="17"/>
  <c r="AT622" i="17"/>
  <c r="AS622" i="17"/>
  <c r="AR622" i="17"/>
  <c r="AQ622" i="17"/>
  <c r="AP622" i="17"/>
  <c r="AO622" i="17"/>
  <c r="AK622" i="17"/>
  <c r="AU621" i="17"/>
  <c r="AT621" i="17"/>
  <c r="AS621" i="17"/>
  <c r="AR621" i="17"/>
  <c r="AQ621" i="17"/>
  <c r="AP621" i="17"/>
  <c r="AO621" i="17"/>
  <c r="AK621" i="17"/>
  <c r="AL621" i="17" s="1"/>
  <c r="AU620" i="17"/>
  <c r="AT620" i="17"/>
  <c r="AS620" i="17"/>
  <c r="AR620" i="17"/>
  <c r="AQ620" i="17"/>
  <c r="AP620" i="17"/>
  <c r="AO620" i="17"/>
  <c r="AK620" i="17"/>
  <c r="AU619" i="17"/>
  <c r="AT619" i="17"/>
  <c r="AS619" i="17"/>
  <c r="AR619" i="17"/>
  <c r="AQ619" i="17"/>
  <c r="AP619" i="17"/>
  <c r="AU618" i="17"/>
  <c r="AT618" i="17"/>
  <c r="AS618" i="17"/>
  <c r="AR618" i="17"/>
  <c r="AQ618" i="17"/>
  <c r="AP618" i="17"/>
  <c r="AO618" i="17"/>
  <c r="AK618" i="17"/>
  <c r="AU617" i="17"/>
  <c r="AT617" i="17"/>
  <c r="AS617" i="17"/>
  <c r="AR617" i="17"/>
  <c r="AQ617" i="17"/>
  <c r="AP617" i="17"/>
  <c r="AO617" i="17"/>
  <c r="AK617" i="17"/>
  <c r="AL617" i="17" s="1"/>
  <c r="AU616" i="17"/>
  <c r="AT616" i="17"/>
  <c r="AS616" i="17"/>
  <c r="AR616" i="17"/>
  <c r="AQ616" i="17"/>
  <c r="AP616" i="17"/>
  <c r="AO616" i="17"/>
  <c r="AK616" i="17"/>
  <c r="AM616" i="17" s="1"/>
  <c r="AN616" i="17" s="1"/>
  <c r="AU615" i="17"/>
  <c r="AT615" i="17"/>
  <c r="AS615" i="17"/>
  <c r="AR615" i="17"/>
  <c r="AQ615" i="17"/>
  <c r="AP615" i="17"/>
  <c r="AO615" i="17"/>
  <c r="AK615" i="17"/>
  <c r="AM615" i="17" s="1"/>
  <c r="AN615" i="17" s="1"/>
  <c r="AU614" i="17"/>
  <c r="AT614" i="17"/>
  <c r="AS614" i="17"/>
  <c r="AR614" i="17"/>
  <c r="AQ614" i="17"/>
  <c r="AP614" i="17"/>
  <c r="AO614" i="17"/>
  <c r="AK614" i="17"/>
  <c r="AU613" i="17"/>
  <c r="AT613" i="17"/>
  <c r="AS613" i="17"/>
  <c r="AR613" i="17"/>
  <c r="AQ613" i="17"/>
  <c r="AO613" i="17"/>
  <c r="AU612" i="17"/>
  <c r="AT612" i="17"/>
  <c r="AS612" i="17"/>
  <c r="AR612" i="17"/>
  <c r="AQ612" i="17"/>
  <c r="AP612" i="17"/>
  <c r="AO612" i="17"/>
  <c r="AK612" i="17"/>
  <c r="AM612" i="17" s="1"/>
  <c r="AN612" i="17" s="1"/>
  <c r="AU611" i="17"/>
  <c r="AT611" i="17"/>
  <c r="AS611" i="17"/>
  <c r="AR611" i="17"/>
  <c r="AQ611" i="17"/>
  <c r="AP611" i="17"/>
  <c r="AU610" i="17"/>
  <c r="AT610" i="17"/>
  <c r="AS610" i="17"/>
  <c r="AR610" i="17"/>
  <c r="AQ610" i="17"/>
  <c r="AP610" i="17"/>
  <c r="AO610" i="17"/>
  <c r="AK610" i="17"/>
  <c r="AL610" i="17" s="1"/>
  <c r="AM610" i="17"/>
  <c r="AN610" i="17" s="1"/>
  <c r="AU609" i="17"/>
  <c r="AT609" i="17"/>
  <c r="AS609" i="17"/>
  <c r="AR609" i="17"/>
  <c r="AQ609" i="17"/>
  <c r="AP609" i="17"/>
  <c r="AO609" i="17"/>
  <c r="AK609" i="17"/>
  <c r="AM609" i="17" s="1"/>
  <c r="AN609" i="17" s="1"/>
  <c r="AU608" i="17"/>
  <c r="AT608" i="17"/>
  <c r="AS608" i="17"/>
  <c r="AR608" i="17"/>
  <c r="AQ608" i="17"/>
  <c r="AP608" i="17"/>
  <c r="AO608" i="17"/>
  <c r="AK608" i="17"/>
  <c r="AM608" i="17" s="1"/>
  <c r="AN608" i="17" s="1"/>
  <c r="AU607" i="17"/>
  <c r="AT607" i="17"/>
  <c r="AS607" i="17"/>
  <c r="AR607" i="17"/>
  <c r="AQ607" i="17"/>
  <c r="AO607" i="17"/>
  <c r="M699" i="17"/>
  <c r="N699" i="17"/>
  <c r="N700" i="17"/>
  <c r="N701" i="17"/>
  <c r="N702" i="17"/>
  <c r="M703" i="17"/>
  <c r="N703" i="17"/>
  <c r="N704" i="17"/>
  <c r="N705" i="17"/>
  <c r="M706" i="17"/>
  <c r="N706" i="17"/>
  <c r="M707" i="17"/>
  <c r="N707" i="17"/>
  <c r="M708" i="17"/>
  <c r="N708" i="17"/>
  <c r="M709" i="17"/>
  <c r="N709" i="17"/>
  <c r="M710" i="17"/>
  <c r="N710" i="17"/>
  <c r="P717" i="17"/>
  <c r="AU671" i="17"/>
  <c r="AT671" i="17"/>
  <c r="AS671" i="17"/>
  <c r="AR671" i="17"/>
  <c r="AQ671" i="17"/>
  <c r="AP671" i="17"/>
  <c r="AO671" i="17"/>
  <c r="AK671" i="17"/>
  <c r="AL671" i="17" s="1"/>
  <c r="AU606" i="17"/>
  <c r="AT606" i="17"/>
  <c r="AS606" i="17"/>
  <c r="AR606" i="17"/>
  <c r="AQ606" i="17"/>
  <c r="AP606" i="17"/>
  <c r="AO606" i="17"/>
  <c r="AK606" i="17"/>
  <c r="AM606" i="17" s="1"/>
  <c r="AN606" i="17" s="1"/>
  <c r="AU605" i="17"/>
  <c r="AT605" i="17"/>
  <c r="AS605" i="17"/>
  <c r="AR605" i="17"/>
  <c r="AQ605" i="17"/>
  <c r="AP605" i="17"/>
  <c r="AO605" i="17"/>
  <c r="AK605" i="17"/>
  <c r="AM605" i="17" s="1"/>
  <c r="AN605" i="17" s="1"/>
  <c r="AU604" i="17"/>
  <c r="AT604" i="17"/>
  <c r="AS604" i="17"/>
  <c r="AR604" i="17"/>
  <c r="AQ604" i="17"/>
  <c r="AP604" i="17"/>
  <c r="AO604" i="17"/>
  <c r="AK604" i="17"/>
  <c r="AM604" i="17" s="1"/>
  <c r="AN604" i="17" s="1"/>
  <c r="AU603" i="17"/>
  <c r="AT603" i="17"/>
  <c r="AS603" i="17"/>
  <c r="AR603" i="17"/>
  <c r="AQ603" i="17"/>
  <c r="AP603" i="17"/>
  <c r="AU602" i="17"/>
  <c r="AT602" i="17"/>
  <c r="AS602" i="17"/>
  <c r="AR602" i="17"/>
  <c r="AQ602" i="17"/>
  <c r="AP602" i="17"/>
  <c r="AO602" i="17"/>
  <c r="AK602" i="17"/>
  <c r="AM602" i="17" s="1"/>
  <c r="AN602" i="17" s="1"/>
  <c r="AU601" i="17"/>
  <c r="AT601" i="17"/>
  <c r="AS601" i="17"/>
  <c r="AR601" i="17"/>
  <c r="AQ601" i="17"/>
  <c r="AP601" i="17"/>
  <c r="AO601" i="17"/>
  <c r="AK601" i="17"/>
  <c r="AM601" i="17" s="1"/>
  <c r="AN601" i="17" s="1"/>
  <c r="AU600" i="17"/>
  <c r="AT600" i="17"/>
  <c r="AS600" i="17"/>
  <c r="AR600" i="17"/>
  <c r="AQ600" i="17"/>
  <c r="AP600" i="17"/>
  <c r="AO600" i="17"/>
  <c r="AK600" i="17"/>
  <c r="AU599" i="17"/>
  <c r="AT599" i="17"/>
  <c r="AS599" i="17"/>
  <c r="AR599" i="17"/>
  <c r="AQ599" i="17"/>
  <c r="AP599" i="17"/>
  <c r="AO599" i="17"/>
  <c r="AK599" i="17"/>
  <c r="AL599" i="17" s="1"/>
  <c r="AU598" i="17"/>
  <c r="AT598" i="17"/>
  <c r="AS598" i="17"/>
  <c r="AR598" i="17"/>
  <c r="AQ598" i="17"/>
  <c r="AP598" i="17"/>
  <c r="AO598" i="17"/>
  <c r="AK598" i="17"/>
  <c r="AM598" i="17" s="1"/>
  <c r="AN598" i="17" s="1"/>
  <c r="AU597" i="17"/>
  <c r="AT597" i="17"/>
  <c r="AS597" i="17"/>
  <c r="AR597" i="17"/>
  <c r="AQ597" i="17"/>
  <c r="AP597" i="17"/>
  <c r="AO597" i="17"/>
  <c r="AK597" i="17"/>
  <c r="AM597" i="17" s="1"/>
  <c r="AN597" i="17" s="1"/>
  <c r="AU596" i="17"/>
  <c r="AT596" i="17"/>
  <c r="AS596" i="17"/>
  <c r="AR596" i="17"/>
  <c r="AQ596" i="17"/>
  <c r="AP596" i="17"/>
  <c r="AO596" i="17"/>
  <c r="AU595" i="17"/>
  <c r="AT595" i="17"/>
  <c r="AS595" i="17"/>
  <c r="AR595" i="17"/>
  <c r="AQ595" i="17"/>
  <c r="AP595" i="17"/>
  <c r="AU594" i="17"/>
  <c r="AT594" i="17"/>
  <c r="AS594" i="17"/>
  <c r="AR594" i="17"/>
  <c r="AQ594" i="17"/>
  <c r="AP594" i="17"/>
  <c r="AO594" i="17"/>
  <c r="AK594" i="17"/>
  <c r="AM594" i="17" s="1"/>
  <c r="AN594" i="17" s="1"/>
  <c r="AU593" i="17"/>
  <c r="AT593" i="17"/>
  <c r="AS593" i="17"/>
  <c r="AR593" i="17"/>
  <c r="AQ593" i="17"/>
  <c r="AP593" i="17"/>
  <c r="AO593" i="17"/>
  <c r="AK593" i="17"/>
  <c r="AM593" i="17" s="1"/>
  <c r="AN593" i="17" s="1"/>
  <c r="AU592" i="17"/>
  <c r="AT592" i="17"/>
  <c r="AS592" i="17"/>
  <c r="AR592" i="17"/>
  <c r="AQ592" i="17"/>
  <c r="AP592" i="17"/>
  <c r="AO592" i="17"/>
  <c r="AK592" i="17"/>
  <c r="AL592" i="17" s="1"/>
  <c r="AM592" i="17"/>
  <c r="AN592" i="17" s="1"/>
  <c r="AU591" i="17"/>
  <c r="AT591" i="17"/>
  <c r="AS591" i="17"/>
  <c r="AR591" i="17"/>
  <c r="AQ591" i="17"/>
  <c r="AP591" i="17"/>
  <c r="AO591" i="17"/>
  <c r="AK591" i="17"/>
  <c r="AL591" i="17" s="1"/>
  <c r="AU590" i="17"/>
  <c r="AT590" i="17"/>
  <c r="AS590" i="17"/>
  <c r="AR590" i="17"/>
  <c r="AQ590" i="17"/>
  <c r="AP590" i="17"/>
  <c r="AO590" i="17"/>
  <c r="AK590" i="17"/>
  <c r="AM590" i="17" s="1"/>
  <c r="AN590" i="17" s="1"/>
  <c r="AU589" i="17"/>
  <c r="AT589" i="17"/>
  <c r="AS589" i="17"/>
  <c r="AR589" i="17"/>
  <c r="AQ589" i="17"/>
  <c r="AP589" i="17"/>
  <c r="AO589" i="17"/>
  <c r="AK589" i="17"/>
  <c r="AM589" i="17" s="1"/>
  <c r="AN589" i="17" s="1"/>
  <c r="AU588" i="17"/>
  <c r="AT588" i="17"/>
  <c r="AS588" i="17"/>
  <c r="AR588" i="17"/>
  <c r="AQ588" i="17"/>
  <c r="AP588" i="17"/>
  <c r="AO588" i="17"/>
  <c r="AK588" i="17"/>
  <c r="AM588" i="17" s="1"/>
  <c r="AN588" i="17" s="1"/>
  <c r="AU587" i="17"/>
  <c r="AT587" i="17"/>
  <c r="AS587" i="17"/>
  <c r="AR587" i="17"/>
  <c r="AQ587" i="17"/>
  <c r="AP587" i="17"/>
  <c r="AU586" i="17"/>
  <c r="AT586" i="17"/>
  <c r="AS586" i="17"/>
  <c r="AR586" i="17"/>
  <c r="AQ586" i="17"/>
  <c r="AP586" i="17"/>
  <c r="AO586" i="17"/>
  <c r="AK586" i="17"/>
  <c r="AU585" i="17"/>
  <c r="AT585" i="17"/>
  <c r="AS585" i="17"/>
  <c r="AR585" i="17"/>
  <c r="AQ585" i="17"/>
  <c r="AP585" i="17"/>
  <c r="AO585" i="17"/>
  <c r="AK585" i="17"/>
  <c r="AM585" i="17" s="1"/>
  <c r="AN585" i="17" s="1"/>
  <c r="AU584" i="17"/>
  <c r="AT584" i="17"/>
  <c r="AS584" i="17"/>
  <c r="AR584" i="17"/>
  <c r="AQ584" i="17"/>
  <c r="AP584" i="17"/>
  <c r="AO584" i="17"/>
  <c r="AK584" i="17"/>
  <c r="AL584" i="17" s="1"/>
  <c r="AU583" i="17"/>
  <c r="AT583" i="17"/>
  <c r="AS583" i="17"/>
  <c r="AR583" i="17"/>
  <c r="AQ583" i="17"/>
  <c r="AP583" i="17"/>
  <c r="AO583" i="17"/>
  <c r="AK583" i="17"/>
  <c r="AU582" i="17"/>
  <c r="AT582" i="17"/>
  <c r="AS582" i="17"/>
  <c r="AR582" i="17"/>
  <c r="AQ582" i="17"/>
  <c r="AP582" i="17"/>
  <c r="AO582" i="17"/>
  <c r="AK582" i="17"/>
  <c r="AU581" i="17"/>
  <c r="AT581" i="17"/>
  <c r="AS581" i="17"/>
  <c r="AR581" i="17"/>
  <c r="AQ581" i="17"/>
  <c r="AP581" i="17"/>
  <c r="AO581" i="17"/>
  <c r="AK581" i="17"/>
  <c r="AM581" i="17" s="1"/>
  <c r="AN581" i="17" s="1"/>
  <c r="AU580" i="17"/>
  <c r="AT580" i="17"/>
  <c r="AS580" i="17"/>
  <c r="AR580" i="17"/>
  <c r="AQ580" i="17"/>
  <c r="AP580" i="17"/>
  <c r="AO580" i="17"/>
  <c r="AK580" i="17"/>
  <c r="AM580" i="17" s="1"/>
  <c r="AN580" i="17" s="1"/>
  <c r="AU579" i="17"/>
  <c r="AT579" i="17"/>
  <c r="AS579" i="17"/>
  <c r="AR579" i="17"/>
  <c r="AQ579" i="17"/>
  <c r="AP579" i="17"/>
  <c r="AU578" i="17"/>
  <c r="AT578" i="17"/>
  <c r="AS578" i="17"/>
  <c r="AR578" i="17"/>
  <c r="AQ578" i="17"/>
  <c r="AP578" i="17"/>
  <c r="AO578" i="17"/>
  <c r="AK578" i="17"/>
  <c r="AM578" i="17" s="1"/>
  <c r="AN578" i="17" s="1"/>
  <c r="AU577" i="17"/>
  <c r="AT577" i="17"/>
  <c r="AS577" i="17"/>
  <c r="AR577" i="17"/>
  <c r="AQ577" i="17"/>
  <c r="AP577" i="17"/>
  <c r="AO577" i="17"/>
  <c r="AK577" i="17"/>
  <c r="AM577" i="17" s="1"/>
  <c r="AN577" i="17" s="1"/>
  <c r="AU576" i="17"/>
  <c r="AT576" i="17"/>
  <c r="AS576" i="17"/>
  <c r="AR576" i="17"/>
  <c r="AQ576" i="17"/>
  <c r="AO576" i="17"/>
  <c r="AU575" i="17"/>
  <c r="AT575" i="17"/>
  <c r="AS575" i="17"/>
  <c r="AR575" i="17"/>
  <c r="AQ575" i="17"/>
  <c r="AP575" i="17"/>
  <c r="AO575" i="17"/>
  <c r="AK575" i="17"/>
  <c r="AL575" i="17" s="1"/>
  <c r="AU574" i="17"/>
  <c r="AT574" i="17"/>
  <c r="AS574" i="17"/>
  <c r="AR574" i="17"/>
  <c r="AQ574" i="17"/>
  <c r="AP574" i="17"/>
  <c r="AO574" i="17"/>
  <c r="AK574" i="17"/>
  <c r="AL574" i="17" s="1"/>
  <c r="AU573" i="17"/>
  <c r="AT573" i="17"/>
  <c r="AS573" i="17"/>
  <c r="AR573" i="17"/>
  <c r="AQ573" i="17"/>
  <c r="AP573" i="17"/>
  <c r="AO573" i="17"/>
  <c r="AK573" i="17"/>
  <c r="AM573" i="17" s="1"/>
  <c r="AN573" i="17" s="1"/>
  <c r="AU572" i="17"/>
  <c r="AT572" i="17"/>
  <c r="AS572" i="17"/>
  <c r="AR572" i="17"/>
  <c r="AQ572" i="17"/>
  <c r="AP572" i="17"/>
  <c r="AO572" i="17"/>
  <c r="AK572" i="17"/>
  <c r="AM572" i="17" s="1"/>
  <c r="AN572" i="17" s="1"/>
  <c r="AU571" i="17"/>
  <c r="AT571" i="17"/>
  <c r="AS571" i="17"/>
  <c r="AR571" i="17"/>
  <c r="AQ571" i="17"/>
  <c r="AP571" i="17"/>
  <c r="AU570" i="17"/>
  <c r="AT570" i="17"/>
  <c r="AS570" i="17"/>
  <c r="AR570" i="17"/>
  <c r="AQ570" i="17"/>
  <c r="AP570" i="17"/>
  <c r="AO570" i="17"/>
  <c r="AK570" i="17"/>
  <c r="AL570" i="17" s="1"/>
  <c r="AU569" i="17"/>
  <c r="AT569" i="17"/>
  <c r="AS569" i="17"/>
  <c r="AR569" i="17"/>
  <c r="AQ569" i="17"/>
  <c r="AP569" i="17"/>
  <c r="AO569" i="17"/>
  <c r="AK569" i="17"/>
  <c r="AM569" i="17" s="1"/>
  <c r="AN569" i="17" s="1"/>
  <c r="AU568" i="17"/>
  <c r="AT568" i="17"/>
  <c r="AS568" i="17"/>
  <c r="AR568" i="17"/>
  <c r="AQ568" i="17"/>
  <c r="AP568" i="17"/>
  <c r="AO568" i="17"/>
  <c r="AK568" i="17"/>
  <c r="AM568" i="17" s="1"/>
  <c r="AN568" i="17" s="1"/>
  <c r="AU567" i="17"/>
  <c r="AT567" i="17"/>
  <c r="AS567" i="17"/>
  <c r="AR567" i="17"/>
  <c r="AQ567" i="17"/>
  <c r="AO567" i="17"/>
  <c r="AU566" i="17"/>
  <c r="AT566" i="17"/>
  <c r="AS566" i="17"/>
  <c r="AR566" i="17"/>
  <c r="AQ566" i="17"/>
  <c r="AP566" i="17"/>
  <c r="AO566" i="17"/>
  <c r="AK566" i="17"/>
  <c r="AL566" i="17" s="1"/>
  <c r="AU565" i="17"/>
  <c r="AT565" i="17"/>
  <c r="AS565" i="17"/>
  <c r="AR565" i="17"/>
  <c r="AQ565" i="17"/>
  <c r="AP565" i="17"/>
  <c r="AO565" i="17"/>
  <c r="AK565" i="17"/>
  <c r="AU564" i="17"/>
  <c r="AT564" i="17"/>
  <c r="AS564" i="17"/>
  <c r="AR564" i="17"/>
  <c r="AQ564" i="17"/>
  <c r="AP564" i="17"/>
  <c r="AO564" i="17"/>
  <c r="AK564" i="17"/>
  <c r="AM564" i="17" s="1"/>
  <c r="AN564" i="17" s="1"/>
  <c r="AU563" i="17"/>
  <c r="AT563" i="17"/>
  <c r="AS563" i="17"/>
  <c r="AR563" i="17"/>
  <c r="AQ563" i="17"/>
  <c r="AU562" i="17"/>
  <c r="AT562" i="17"/>
  <c r="AS562" i="17"/>
  <c r="AR562" i="17"/>
  <c r="AQ562" i="17"/>
  <c r="AP562" i="17"/>
  <c r="AO562" i="17"/>
  <c r="AK562" i="17"/>
  <c r="AM562" i="17" s="1"/>
  <c r="AN562" i="17" s="1"/>
  <c r="AU561" i="17"/>
  <c r="AT561" i="17"/>
  <c r="AS561" i="17"/>
  <c r="AR561" i="17"/>
  <c r="AQ561" i="17"/>
  <c r="AP561" i="17"/>
  <c r="AO561" i="17"/>
  <c r="AK561" i="17"/>
  <c r="AM561" i="17" s="1"/>
  <c r="AN561" i="17" s="1"/>
  <c r="AU560" i="17"/>
  <c r="AT560" i="17"/>
  <c r="AS560" i="17"/>
  <c r="AR560" i="17"/>
  <c r="AQ560" i="17"/>
  <c r="AP560" i="17"/>
  <c r="AO560" i="17"/>
  <c r="AK560" i="17"/>
  <c r="AM560" i="17" s="1"/>
  <c r="AN560" i="17" s="1"/>
  <c r="AU559" i="17"/>
  <c r="AT559" i="17"/>
  <c r="AS559" i="17"/>
  <c r="AR559" i="17"/>
  <c r="AQ559" i="17"/>
  <c r="AP559" i="17"/>
  <c r="AO559" i="17"/>
  <c r="AK559" i="17"/>
  <c r="AU558" i="17"/>
  <c r="AT558" i="17"/>
  <c r="AS558" i="17"/>
  <c r="AR558" i="17"/>
  <c r="AQ558" i="17"/>
  <c r="AO558" i="17"/>
  <c r="AU557" i="17"/>
  <c r="AT557" i="17"/>
  <c r="AS557" i="17"/>
  <c r="AR557" i="17"/>
  <c r="AQ557" i="17"/>
  <c r="AP557" i="17"/>
  <c r="AO557" i="17"/>
  <c r="AK557" i="17"/>
  <c r="AM557" i="17" s="1"/>
  <c r="AN557" i="17" s="1"/>
  <c r="AU556" i="17"/>
  <c r="AT556" i="17"/>
  <c r="AS556" i="17"/>
  <c r="AR556" i="17"/>
  <c r="AQ556" i="17"/>
  <c r="AP556" i="17"/>
  <c r="AO556" i="17"/>
  <c r="AK556" i="17"/>
  <c r="AM556" i="17" s="1"/>
  <c r="AN556" i="17" s="1"/>
  <c r="AU555" i="17"/>
  <c r="AT555" i="17"/>
  <c r="AS555" i="17"/>
  <c r="AR555" i="17"/>
  <c r="AQ555" i="17"/>
  <c r="AP555" i="17"/>
  <c r="AU554" i="17"/>
  <c r="AT554" i="17"/>
  <c r="AS554" i="17"/>
  <c r="AR554" i="17"/>
  <c r="AQ554" i="17"/>
  <c r="AO554" i="17"/>
  <c r="AU553" i="17"/>
  <c r="AT553" i="17"/>
  <c r="AS553" i="17"/>
  <c r="AR553" i="17"/>
  <c r="AQ553" i="17"/>
  <c r="AP553" i="17"/>
  <c r="AO553" i="17"/>
  <c r="AK553" i="17"/>
  <c r="AM553" i="17" s="1"/>
  <c r="AN553" i="17" s="1"/>
  <c r="AU552" i="17"/>
  <c r="AT552" i="17"/>
  <c r="AS552" i="17"/>
  <c r="AR552" i="17"/>
  <c r="AQ552" i="17"/>
  <c r="AP552" i="17"/>
  <c r="AO552" i="17"/>
  <c r="AK552" i="17"/>
  <c r="AM552" i="17" s="1"/>
  <c r="AN552" i="17" s="1"/>
  <c r="AU551" i="17"/>
  <c r="AT551" i="17"/>
  <c r="AS551" i="17"/>
  <c r="AR551" i="17"/>
  <c r="AQ551" i="17"/>
  <c r="AP551" i="17"/>
  <c r="AO551" i="17"/>
  <c r="AK551" i="17"/>
  <c r="AL551" i="17" s="1"/>
  <c r="AU550" i="17"/>
  <c r="AT550" i="17"/>
  <c r="AS550" i="17"/>
  <c r="AR550" i="17"/>
  <c r="AQ550" i="17"/>
  <c r="AP550" i="17"/>
  <c r="AO550" i="17"/>
  <c r="AK550" i="17"/>
  <c r="AM550" i="17" s="1"/>
  <c r="AN550" i="17" s="1"/>
  <c r="AU549" i="17"/>
  <c r="AT549" i="17"/>
  <c r="AS549" i="17"/>
  <c r="AR549" i="17"/>
  <c r="AQ549" i="17"/>
  <c r="AP549" i="17"/>
  <c r="AO549" i="17"/>
  <c r="AK549" i="17"/>
  <c r="AM549" i="17" s="1"/>
  <c r="AN549" i="17" s="1"/>
  <c r="AU548" i="17"/>
  <c r="AT548" i="17"/>
  <c r="AS548" i="17"/>
  <c r="AR548" i="17"/>
  <c r="AQ548" i="17"/>
  <c r="AP548" i="17"/>
  <c r="AO548" i="17"/>
  <c r="AK548" i="17"/>
  <c r="AL548" i="17" s="1"/>
  <c r="AU547" i="17"/>
  <c r="AT547" i="17"/>
  <c r="AS547" i="17"/>
  <c r="AR547" i="17"/>
  <c r="AQ547" i="17"/>
  <c r="AP547" i="17"/>
  <c r="AU546" i="17"/>
  <c r="AT546" i="17"/>
  <c r="AS546" i="17"/>
  <c r="AR546" i="17"/>
  <c r="AQ546" i="17"/>
  <c r="AP546" i="17"/>
  <c r="AO546" i="17"/>
  <c r="AK546" i="17"/>
  <c r="AL546" i="17" s="1"/>
  <c r="AU545" i="17"/>
  <c r="AT545" i="17"/>
  <c r="AS545" i="17"/>
  <c r="AR545" i="17"/>
  <c r="AQ545" i="17"/>
  <c r="AP545" i="17"/>
  <c r="AO545" i="17"/>
  <c r="AK545" i="17"/>
  <c r="AM545" i="17" s="1"/>
  <c r="AN545" i="17" s="1"/>
  <c r="AU544" i="17"/>
  <c r="AT544" i="17"/>
  <c r="AS544" i="17"/>
  <c r="AR544" i="17"/>
  <c r="AQ544" i="17"/>
  <c r="AP544" i="17"/>
  <c r="AO544" i="17"/>
  <c r="AK544" i="17"/>
  <c r="AM544" i="17" s="1"/>
  <c r="AN544" i="17" s="1"/>
  <c r="AU543" i="17"/>
  <c r="AT543" i="17"/>
  <c r="AS543" i="17"/>
  <c r="AR543" i="17"/>
  <c r="AQ543" i="17"/>
  <c r="AP543" i="17"/>
  <c r="AO543" i="17"/>
  <c r="AK543" i="17"/>
  <c r="AM543" i="17" s="1"/>
  <c r="AN543" i="17" s="1"/>
  <c r="AU542" i="17"/>
  <c r="AT542" i="17"/>
  <c r="AS542" i="17"/>
  <c r="AR542" i="17"/>
  <c r="AQ542" i="17"/>
  <c r="AP542" i="17"/>
  <c r="AO542" i="17"/>
  <c r="AK542" i="17"/>
  <c r="AL542" i="17" s="1"/>
  <c r="AM542" i="17"/>
  <c r="AN542" i="17" s="1"/>
  <c r="AU541" i="17"/>
  <c r="AT541" i="17"/>
  <c r="AS541" i="17"/>
  <c r="AR541" i="17"/>
  <c r="AQ541" i="17"/>
  <c r="AP541" i="17"/>
  <c r="AO541" i="17"/>
  <c r="AK541" i="17"/>
  <c r="AM541" i="17" s="1"/>
  <c r="AN541" i="17" s="1"/>
  <c r="AU540" i="17"/>
  <c r="AT540" i="17"/>
  <c r="AS540" i="17"/>
  <c r="AR540" i="17"/>
  <c r="AQ540" i="17"/>
  <c r="AP540" i="17"/>
  <c r="AO540" i="17"/>
  <c r="AK540" i="17"/>
  <c r="AU538" i="17"/>
  <c r="AT538" i="17"/>
  <c r="AS538" i="17"/>
  <c r="AR538" i="17"/>
  <c r="AQ538" i="17"/>
  <c r="AP538" i="17"/>
  <c r="AO538" i="17"/>
  <c r="AK538" i="17"/>
  <c r="AU537" i="17"/>
  <c r="AT537" i="17"/>
  <c r="AS537" i="17"/>
  <c r="AR537" i="17"/>
  <c r="AQ537" i="17"/>
  <c r="AP537" i="17"/>
  <c r="AO537" i="17"/>
  <c r="AK537" i="17"/>
  <c r="AL537" i="17" s="1"/>
  <c r="AU536" i="17"/>
  <c r="AT536" i="17"/>
  <c r="AS536" i="17"/>
  <c r="AR536" i="17"/>
  <c r="AQ536" i="17"/>
  <c r="AP536" i="17"/>
  <c r="AO536" i="17"/>
  <c r="AK536" i="17"/>
  <c r="AL536" i="17" s="1"/>
  <c r="AU535" i="17"/>
  <c r="AT535" i="17"/>
  <c r="AS535" i="17"/>
  <c r="AR535" i="17"/>
  <c r="AQ535" i="17"/>
  <c r="AP535" i="17"/>
  <c r="AO535" i="17"/>
  <c r="AK535" i="17"/>
  <c r="AU534" i="17"/>
  <c r="AT534" i="17"/>
  <c r="AS534" i="17"/>
  <c r="AR534" i="17"/>
  <c r="AQ534" i="17"/>
  <c r="AP534" i="17"/>
  <c r="AO534" i="17"/>
  <c r="AK534" i="17"/>
  <c r="AM534" i="17" s="1"/>
  <c r="AN534" i="17" s="1"/>
  <c r="AU533" i="17"/>
  <c r="AT533" i="17"/>
  <c r="AS533" i="17"/>
  <c r="AR533" i="17"/>
  <c r="AQ533" i="17"/>
  <c r="AP533" i="17"/>
  <c r="AO533" i="17"/>
  <c r="AK533" i="17"/>
  <c r="AM533" i="17" s="1"/>
  <c r="AN533" i="17" s="1"/>
  <c r="AU532" i="17"/>
  <c r="AT532" i="17"/>
  <c r="AS532" i="17"/>
  <c r="AR532" i="17"/>
  <c r="AQ532" i="17"/>
  <c r="AP532" i="17"/>
  <c r="AO532" i="17"/>
  <c r="AK532" i="17"/>
  <c r="AM532" i="17" s="1"/>
  <c r="AN532" i="17" s="1"/>
  <c r="AU531" i="17"/>
  <c r="AT531" i="17"/>
  <c r="AS531" i="17"/>
  <c r="AR531" i="17"/>
  <c r="AQ531" i="17"/>
  <c r="AP531" i="17"/>
  <c r="N452" i="17"/>
  <c r="N451" i="17"/>
  <c r="AO451" i="17" s="1"/>
  <c r="N450" i="17"/>
  <c r="AK450" i="17" s="1"/>
  <c r="N449" i="17"/>
  <c r="AO449" i="17" s="1"/>
  <c r="N448" i="17"/>
  <c r="AO448" i="17" s="1"/>
  <c r="N446" i="17"/>
  <c r="AO446" i="17" s="1"/>
  <c r="N443" i="17"/>
  <c r="AK443" i="17" s="1"/>
  <c r="AM443" i="17" s="1"/>
  <c r="AN443" i="17" s="1"/>
  <c r="N442" i="17"/>
  <c r="AO442" i="17" s="1"/>
  <c r="N441" i="17"/>
  <c r="AK441" i="17" s="1"/>
  <c r="N440" i="17"/>
  <c r="AO440" i="17" s="1"/>
  <c r="N439" i="17"/>
  <c r="N438" i="17"/>
  <c r="AO438" i="17" s="1"/>
  <c r="N436" i="17"/>
  <c r="AO436" i="17" s="1"/>
  <c r="N435" i="17"/>
  <c r="AO435" i="17" s="1"/>
  <c r="N434" i="17"/>
  <c r="AO434" i="17" s="1"/>
  <c r="R441" i="17"/>
  <c r="R440" i="17"/>
  <c r="R439" i="17"/>
  <c r="R438" i="17"/>
  <c r="R436" i="17"/>
  <c r="R435" i="17"/>
  <c r="R434" i="17"/>
  <c r="R432" i="17"/>
  <c r="AK432" i="17" s="1"/>
  <c r="R431" i="17"/>
  <c r="R430" i="17"/>
  <c r="AK430" i="17" s="1"/>
  <c r="R429" i="17"/>
  <c r="R427" i="17"/>
  <c r="N432" i="17"/>
  <c r="N431" i="17"/>
  <c r="N430" i="17"/>
  <c r="AO430" i="17" s="1"/>
  <c r="N429" i="17"/>
  <c r="AO429" i="17" s="1"/>
  <c r="N427" i="17"/>
  <c r="R426" i="17"/>
  <c r="R425" i="17"/>
  <c r="M426" i="17"/>
  <c r="M425" i="17"/>
  <c r="M424" i="17"/>
  <c r="AP424" i="17" s="1"/>
  <c r="R418" i="17"/>
  <c r="M418" i="17"/>
  <c r="M417" i="17"/>
  <c r="AK417" i="17" s="1"/>
  <c r="N426" i="17"/>
  <c r="N425" i="17"/>
  <c r="N424" i="17"/>
  <c r="AO424" i="17" s="1"/>
  <c r="N423" i="17"/>
  <c r="N422" i="17"/>
  <c r="AO422" i="17" s="1"/>
  <c r="N421" i="17"/>
  <c r="N420" i="17"/>
  <c r="N419" i="17"/>
  <c r="N418" i="17"/>
  <c r="AO418" i="17" s="1"/>
  <c r="N417" i="17"/>
  <c r="R412" i="17"/>
  <c r="R411" i="17"/>
  <c r="R410" i="17"/>
  <c r="M410" i="17"/>
  <c r="R409" i="17"/>
  <c r="R408" i="17"/>
  <c r="N412" i="17"/>
  <c r="N411" i="17"/>
  <c r="N410" i="17"/>
  <c r="AO410" i="17" s="1"/>
  <c r="N409" i="17"/>
  <c r="N408" i="17"/>
  <c r="AO408" i="17" s="1"/>
  <c r="N407" i="17"/>
  <c r="N406" i="17"/>
  <c r="AK406" i="17" s="1"/>
  <c r="AL406" i="17" s="1"/>
  <c r="N405" i="17"/>
  <c r="R407" i="17"/>
  <c r="R406" i="17"/>
  <c r="R405" i="17"/>
  <c r="R404" i="17"/>
  <c r="R403" i="17"/>
  <c r="R402" i="17"/>
  <c r="R401" i="17"/>
  <c r="R400" i="17"/>
  <c r="M398" i="17"/>
  <c r="M395" i="17"/>
  <c r="M393" i="17"/>
  <c r="M391" i="17"/>
  <c r="N399" i="17"/>
  <c r="AK399" i="17" s="1"/>
  <c r="N398" i="17"/>
  <c r="N397" i="17"/>
  <c r="N396" i="17"/>
  <c r="AO396" i="17" s="1"/>
  <c r="N395" i="17"/>
  <c r="N394" i="17"/>
  <c r="N393" i="17"/>
  <c r="N392" i="17"/>
  <c r="N391" i="17"/>
  <c r="M389" i="17"/>
  <c r="M386" i="17"/>
  <c r="N416" i="17"/>
  <c r="N415" i="17"/>
  <c r="AK415" i="17" s="1"/>
  <c r="N414" i="17"/>
  <c r="N413" i="17"/>
  <c r="AK413" i="17" s="1"/>
  <c r="N404" i="17"/>
  <c r="N403" i="17"/>
  <c r="AK403" i="17" s="1"/>
  <c r="N402" i="17"/>
  <c r="AU451" i="17"/>
  <c r="AT451" i="17"/>
  <c r="AS451" i="17"/>
  <c r="AR451" i="17"/>
  <c r="AQ451" i="17"/>
  <c r="AP451" i="17"/>
  <c r="AU450" i="17"/>
  <c r="AT450" i="17"/>
  <c r="AS450" i="17"/>
  <c r="AR450" i="17"/>
  <c r="AQ450" i="17"/>
  <c r="AP450" i="17"/>
  <c r="AO450" i="17"/>
  <c r="AU449" i="17"/>
  <c r="AT449" i="17"/>
  <c r="AS449" i="17"/>
  <c r="AR449" i="17"/>
  <c r="AQ449" i="17"/>
  <c r="AP449" i="17"/>
  <c r="AK449" i="17"/>
  <c r="AM449" i="17" s="1"/>
  <c r="AN449" i="17" s="1"/>
  <c r="AU448" i="17"/>
  <c r="AT448" i="17"/>
  <c r="AS448" i="17"/>
  <c r="AR448" i="17"/>
  <c r="AQ448" i="17"/>
  <c r="AP448" i="17"/>
  <c r="AU446" i="17"/>
  <c r="AT446" i="17"/>
  <c r="AS446" i="17"/>
  <c r="AR446" i="17"/>
  <c r="AQ446" i="17"/>
  <c r="AP446" i="17"/>
  <c r="AU443" i="17"/>
  <c r="AT443" i="17"/>
  <c r="AS443" i="17"/>
  <c r="AR443" i="17"/>
  <c r="AQ443" i="17"/>
  <c r="AP443" i="17"/>
  <c r="AU442" i="17"/>
  <c r="AT442" i="17"/>
  <c r="AS442" i="17"/>
  <c r="AR442" i="17"/>
  <c r="AQ442" i="17"/>
  <c r="AP442" i="17"/>
  <c r="AU441" i="17"/>
  <c r="AT441" i="17"/>
  <c r="AS441" i="17"/>
  <c r="AR441" i="17"/>
  <c r="AQ441" i="17"/>
  <c r="AP441" i="17"/>
  <c r="AO441" i="17"/>
  <c r="AU440" i="17"/>
  <c r="AT440" i="17"/>
  <c r="AS440" i="17"/>
  <c r="AR440" i="17"/>
  <c r="AQ440" i="17"/>
  <c r="AP440" i="17"/>
  <c r="AU439" i="17"/>
  <c r="AT439" i="17"/>
  <c r="AS439" i="17"/>
  <c r="AR439" i="17"/>
  <c r="AQ439" i="17"/>
  <c r="AP439" i="17"/>
  <c r="AO439" i="17"/>
  <c r="AU438" i="17"/>
  <c r="AT438" i="17"/>
  <c r="AS438" i="17"/>
  <c r="AR438" i="17"/>
  <c r="AQ438" i="17"/>
  <c r="AP438" i="17"/>
  <c r="AK438" i="17"/>
  <c r="AM438" i="17" s="1"/>
  <c r="AN438" i="17" s="1"/>
  <c r="AU436" i="17"/>
  <c r="AT436" i="17"/>
  <c r="AS436" i="17"/>
  <c r="AR436" i="17"/>
  <c r="AQ436" i="17"/>
  <c r="AP436" i="17"/>
  <c r="AK436" i="17"/>
  <c r="AM436" i="17" s="1"/>
  <c r="AN436" i="17" s="1"/>
  <c r="AU435" i="17"/>
  <c r="AT435" i="17"/>
  <c r="AS435" i="17"/>
  <c r="AR435" i="17"/>
  <c r="AQ435" i="17"/>
  <c r="AP435" i="17"/>
  <c r="AK435" i="17"/>
  <c r="AM435" i="17" s="1"/>
  <c r="AN435" i="17" s="1"/>
  <c r="AU434" i="17"/>
  <c r="AT434" i="17"/>
  <c r="AS434" i="17"/>
  <c r="AR434" i="17"/>
  <c r="AQ434" i="17"/>
  <c r="AP434" i="17"/>
  <c r="AK434" i="17"/>
  <c r="AM434" i="17" s="1"/>
  <c r="AN434" i="17" s="1"/>
  <c r="AU432" i="17"/>
  <c r="AT432" i="17"/>
  <c r="AS432" i="17"/>
  <c r="AR432" i="17"/>
  <c r="AQ432" i="17"/>
  <c r="AP432" i="17"/>
  <c r="AO432" i="17"/>
  <c r="AU431" i="17"/>
  <c r="AT431" i="17"/>
  <c r="AS431" i="17"/>
  <c r="AR431" i="17"/>
  <c r="AQ431" i="17"/>
  <c r="AP431" i="17"/>
  <c r="AO431" i="17"/>
  <c r="AU430" i="17"/>
  <c r="AT430" i="17"/>
  <c r="AS430" i="17"/>
  <c r="AR430" i="17"/>
  <c r="AQ430" i="17"/>
  <c r="AP430" i="17"/>
  <c r="AU429" i="17"/>
  <c r="AT429" i="17"/>
  <c r="AS429" i="17"/>
  <c r="AR429" i="17"/>
  <c r="AQ429" i="17"/>
  <c r="AP429" i="17"/>
  <c r="AK429" i="17"/>
  <c r="AM429" i="17" s="1"/>
  <c r="AN429" i="17" s="1"/>
  <c r="AU427" i="17"/>
  <c r="AT427" i="17"/>
  <c r="AS427" i="17"/>
  <c r="AR427" i="17"/>
  <c r="AQ427" i="17"/>
  <c r="AP427" i="17"/>
  <c r="AU426" i="17"/>
  <c r="AT426" i="17"/>
  <c r="AS426" i="17"/>
  <c r="AR426" i="17"/>
  <c r="AQ426" i="17"/>
  <c r="AP426" i="17"/>
  <c r="AU425" i="17"/>
  <c r="AT425" i="17"/>
  <c r="AS425" i="17"/>
  <c r="AR425" i="17"/>
  <c r="AQ425" i="17"/>
  <c r="AP425" i="17"/>
  <c r="AO425" i="17"/>
  <c r="AK425" i="17"/>
  <c r="AM425" i="17" s="1"/>
  <c r="AN425" i="17" s="1"/>
  <c r="AU424" i="17"/>
  <c r="AT424" i="17"/>
  <c r="AS424" i="17"/>
  <c r="AR424" i="17"/>
  <c r="AQ424" i="17"/>
  <c r="AK424" i="17"/>
  <c r="AM424" i="17" s="1"/>
  <c r="AN424" i="17" s="1"/>
  <c r="AU423" i="17"/>
  <c r="AT423" i="17"/>
  <c r="AS423" i="17"/>
  <c r="AR423" i="17"/>
  <c r="AQ423" i="17"/>
  <c r="AP423" i="17"/>
  <c r="AO423" i="17"/>
  <c r="AK423" i="17"/>
  <c r="AU422" i="17"/>
  <c r="AT422" i="17"/>
  <c r="AS422" i="17"/>
  <c r="AR422" i="17"/>
  <c r="AQ422" i="17"/>
  <c r="AP422" i="17"/>
  <c r="AK422" i="17"/>
  <c r="AM422" i="17" s="1"/>
  <c r="AN422" i="17" s="1"/>
  <c r="AU421" i="17"/>
  <c r="AT421" i="17"/>
  <c r="AS421" i="17"/>
  <c r="AR421" i="17"/>
  <c r="AQ421" i="17"/>
  <c r="AP421" i="17"/>
  <c r="AO421" i="17"/>
  <c r="AK421" i="17"/>
  <c r="AU420" i="17"/>
  <c r="AT420" i="17"/>
  <c r="AS420" i="17"/>
  <c r="AR420" i="17"/>
  <c r="AQ420" i="17"/>
  <c r="AP420" i="17"/>
  <c r="AO420" i="17"/>
  <c r="AK420" i="17"/>
  <c r="AM420" i="17" s="1"/>
  <c r="AN420" i="17" s="1"/>
  <c r="AU419" i="17"/>
  <c r="AT419" i="17"/>
  <c r="AS419" i="17"/>
  <c r="AR419" i="17"/>
  <c r="AQ419" i="17"/>
  <c r="AP419" i="17"/>
  <c r="AU418" i="17"/>
  <c r="AT418" i="17"/>
  <c r="AS418" i="17"/>
  <c r="AR418" i="17"/>
  <c r="AQ418" i="17"/>
  <c r="AU417" i="17"/>
  <c r="AT417" i="17"/>
  <c r="AS417" i="17"/>
  <c r="AR417" i="17"/>
  <c r="AQ417" i="17"/>
  <c r="AP417" i="17"/>
  <c r="AO417" i="17"/>
  <c r="AU416" i="17"/>
  <c r="AT416" i="17"/>
  <c r="AS416" i="17"/>
  <c r="AR416" i="17"/>
  <c r="AQ416" i="17"/>
  <c r="AP416" i="17"/>
  <c r="AU415" i="17"/>
  <c r="AT415" i="17"/>
  <c r="AS415" i="17"/>
  <c r="AR415" i="17"/>
  <c r="AQ415" i="17"/>
  <c r="AP415" i="17"/>
  <c r="AO415" i="17"/>
  <c r="AU414" i="17"/>
  <c r="AT414" i="17"/>
  <c r="AS414" i="17"/>
  <c r="AR414" i="17"/>
  <c r="AQ414" i="17"/>
  <c r="AO414" i="17"/>
  <c r="AU413" i="17"/>
  <c r="AT413" i="17"/>
  <c r="AS413" i="17"/>
  <c r="AR413" i="17"/>
  <c r="AQ413" i="17"/>
  <c r="AP413" i="17"/>
  <c r="AO413" i="17"/>
  <c r="AU412" i="17"/>
  <c r="AT412" i="17"/>
  <c r="AS412" i="17"/>
  <c r="AR412" i="17"/>
  <c r="AQ412" i="17"/>
  <c r="AP412" i="17"/>
  <c r="AU411" i="17"/>
  <c r="AT411" i="17"/>
  <c r="AS411" i="17"/>
  <c r="AR411" i="17"/>
  <c r="AQ411" i="17"/>
  <c r="AP411" i="17"/>
  <c r="AO411" i="17"/>
  <c r="AK411" i="17"/>
  <c r="AM411" i="17" s="1"/>
  <c r="AN411" i="17" s="1"/>
  <c r="AU410" i="17"/>
  <c r="AT410" i="17"/>
  <c r="AS410" i="17"/>
  <c r="AR410" i="17"/>
  <c r="AQ410" i="17"/>
  <c r="AP410" i="17"/>
  <c r="AK410" i="17"/>
  <c r="AL410" i="17" s="1"/>
  <c r="AU409" i="17"/>
  <c r="AT409" i="17"/>
  <c r="AS409" i="17"/>
  <c r="AR409" i="17"/>
  <c r="AQ409" i="17"/>
  <c r="AO409" i="17"/>
  <c r="AU408" i="17"/>
  <c r="AT408" i="17"/>
  <c r="AS408" i="17"/>
  <c r="AR408" i="17"/>
  <c r="AQ408" i="17"/>
  <c r="AU407" i="17"/>
  <c r="AT407" i="17"/>
  <c r="AS407" i="17"/>
  <c r="AR407" i="17"/>
  <c r="AQ407" i="17"/>
  <c r="AP407" i="17"/>
  <c r="AO407" i="17"/>
  <c r="AU406" i="17"/>
  <c r="AT406" i="17"/>
  <c r="AS406" i="17"/>
  <c r="AR406" i="17"/>
  <c r="AQ406" i="17"/>
  <c r="AP406" i="17"/>
  <c r="AO406" i="17"/>
  <c r="N385" i="17"/>
  <c r="M383" i="17"/>
  <c r="M382" i="17"/>
  <c r="AK382" i="17" s="1"/>
  <c r="AM382" i="17" s="1"/>
  <c r="AN382" i="17" s="1"/>
  <c r="N384" i="17"/>
  <c r="AO384" i="17" s="1"/>
  <c r="N383" i="17"/>
  <c r="AO383" i="17" s="1"/>
  <c r="N382" i="17"/>
  <c r="N381" i="17"/>
  <c r="AO381" i="17" s="1"/>
  <c r="N379" i="17"/>
  <c r="M381" i="17"/>
  <c r="AK381" i="17" s="1"/>
  <c r="AM381" i="17" s="1"/>
  <c r="AN381" i="17" s="1"/>
  <c r="M379" i="17"/>
  <c r="AP379" i="17" s="1"/>
  <c r="N378" i="17"/>
  <c r="M378" i="17"/>
  <c r="N377" i="17"/>
  <c r="N401" i="17"/>
  <c r="AK401" i="17" s="1"/>
  <c r="N400" i="17"/>
  <c r="AO400" i="17" s="1"/>
  <c r="N390" i="17"/>
  <c r="N389" i="17"/>
  <c r="N388" i="17"/>
  <c r="AO388" i="17" s="1"/>
  <c r="N387" i="17"/>
  <c r="AO387" i="17" s="1"/>
  <c r="N386" i="17"/>
  <c r="AO386" i="17" s="1"/>
  <c r="AU452" i="17"/>
  <c r="AT452" i="17"/>
  <c r="AS452" i="17"/>
  <c r="AR452" i="17"/>
  <c r="AQ452" i="17"/>
  <c r="AP452" i="17"/>
  <c r="AU405" i="17"/>
  <c r="AT405" i="17"/>
  <c r="AS405" i="17"/>
  <c r="AR405" i="17"/>
  <c r="AQ405" i="17"/>
  <c r="AP405" i="17"/>
  <c r="AU404" i="17"/>
  <c r="AT404" i="17"/>
  <c r="AS404" i="17"/>
  <c r="AR404" i="17"/>
  <c r="AQ404" i="17"/>
  <c r="AP404" i="17"/>
  <c r="AO404" i="17"/>
  <c r="AK404" i="17"/>
  <c r="AU403" i="17"/>
  <c r="AT403" i="17"/>
  <c r="AS403" i="17"/>
  <c r="AR403" i="17"/>
  <c r="AQ403" i="17"/>
  <c r="AP403" i="17"/>
  <c r="AO403" i="17"/>
  <c r="AU402" i="17"/>
  <c r="AT402" i="17"/>
  <c r="AS402" i="17"/>
  <c r="AR402" i="17"/>
  <c r="AQ402" i="17"/>
  <c r="AP402" i="17"/>
  <c r="AO402" i="17"/>
  <c r="AK402" i="17"/>
  <c r="AL402" i="17" s="1"/>
  <c r="AU401" i="17"/>
  <c r="AT401" i="17"/>
  <c r="AS401" i="17"/>
  <c r="AR401" i="17"/>
  <c r="AQ401" i="17"/>
  <c r="AP401" i="17"/>
  <c r="AO401" i="17"/>
  <c r="AU400" i="17"/>
  <c r="AT400" i="17"/>
  <c r="AS400" i="17"/>
  <c r="AR400" i="17"/>
  <c r="AQ400" i="17"/>
  <c r="AP400" i="17"/>
  <c r="AU399" i="17"/>
  <c r="AT399" i="17"/>
  <c r="AS399" i="17"/>
  <c r="AR399" i="17"/>
  <c r="AQ399" i="17"/>
  <c r="AP399" i="17"/>
  <c r="AO399" i="17"/>
  <c r="AU398" i="17"/>
  <c r="AT398" i="17"/>
  <c r="AS398" i="17"/>
  <c r="AR398" i="17"/>
  <c r="AQ398" i="17"/>
  <c r="AO398" i="17"/>
  <c r="AU397" i="17"/>
  <c r="AT397" i="17"/>
  <c r="AS397" i="17"/>
  <c r="AR397" i="17"/>
  <c r="AQ397" i="17"/>
  <c r="AP397" i="17"/>
  <c r="AO397" i="17"/>
  <c r="AK397" i="17"/>
  <c r="AL397" i="17" s="1"/>
  <c r="AU396" i="17"/>
  <c r="AT396" i="17"/>
  <c r="AS396" i="17"/>
  <c r="AR396" i="17"/>
  <c r="AQ396" i="17"/>
  <c r="AP396" i="17"/>
  <c r="AK396" i="17"/>
  <c r="AU395" i="17"/>
  <c r="AT395" i="17"/>
  <c r="AS395" i="17"/>
  <c r="AR395" i="17"/>
  <c r="AQ395" i="17"/>
  <c r="AP395" i="17"/>
  <c r="AU394" i="17"/>
  <c r="AT394" i="17"/>
  <c r="AS394" i="17"/>
  <c r="AR394" i="17"/>
  <c r="AQ394" i="17"/>
  <c r="AP394" i="17"/>
  <c r="AO394" i="17"/>
  <c r="AK394" i="17"/>
  <c r="AL394" i="17" s="1"/>
  <c r="AU393" i="17"/>
  <c r="AT393" i="17"/>
  <c r="AS393" i="17"/>
  <c r="AR393" i="17"/>
  <c r="AQ393" i="17"/>
  <c r="AP393" i="17"/>
  <c r="AO393" i="17"/>
  <c r="AK393" i="17"/>
  <c r="AM393" i="17" s="1"/>
  <c r="AN393" i="17" s="1"/>
  <c r="AU392" i="17"/>
  <c r="AT392" i="17"/>
  <c r="AS392" i="17"/>
  <c r="AR392" i="17"/>
  <c r="AQ392" i="17"/>
  <c r="AP392" i="17"/>
  <c r="AO392" i="17"/>
  <c r="AK392" i="17"/>
  <c r="AM392" i="17" s="1"/>
  <c r="AN392" i="17" s="1"/>
  <c r="AU391" i="17"/>
  <c r="AT391" i="17"/>
  <c r="AS391" i="17"/>
  <c r="AR391" i="17"/>
  <c r="AQ391" i="17"/>
  <c r="AP391" i="17"/>
  <c r="AO391" i="17"/>
  <c r="AK391" i="17"/>
  <c r="AM391" i="17" s="1"/>
  <c r="AN391" i="17" s="1"/>
  <c r="AU390" i="17"/>
  <c r="AT390" i="17"/>
  <c r="AS390" i="17"/>
  <c r="AR390" i="17"/>
  <c r="AQ390" i="17"/>
  <c r="AP390" i="17"/>
  <c r="AO390" i="17"/>
  <c r="AK390" i="17"/>
  <c r="AM390" i="17" s="1"/>
  <c r="AN390" i="17" s="1"/>
  <c r="AU389" i="17"/>
  <c r="AT389" i="17"/>
  <c r="AS389" i="17"/>
  <c r="AR389" i="17"/>
  <c r="AQ389" i="17"/>
  <c r="AP389" i="17"/>
  <c r="AO389" i="17"/>
  <c r="AK389" i="17"/>
  <c r="AM389" i="17" s="1"/>
  <c r="AN389" i="17" s="1"/>
  <c r="AU388" i="17"/>
  <c r="AT388" i="17"/>
  <c r="AS388" i="17"/>
  <c r="AR388" i="17"/>
  <c r="AQ388" i="17"/>
  <c r="AP388" i="17"/>
  <c r="AK388" i="17"/>
  <c r="AU387" i="17"/>
  <c r="AT387" i="17"/>
  <c r="AS387" i="17"/>
  <c r="AR387" i="17"/>
  <c r="AQ387" i="17"/>
  <c r="AP387" i="17"/>
  <c r="AK387" i="17"/>
  <c r="AL387" i="17" s="1"/>
  <c r="AU386" i="17"/>
  <c r="AT386" i="17"/>
  <c r="AS386" i="17"/>
  <c r="AR386" i="17"/>
  <c r="AQ386" i="17"/>
  <c r="AP386" i="17"/>
  <c r="AU385" i="17"/>
  <c r="AT385" i="17"/>
  <c r="AS385" i="17"/>
  <c r="AR385" i="17"/>
  <c r="AQ385" i="17"/>
  <c r="AP385" i="17"/>
  <c r="AO385" i="17"/>
  <c r="AK385" i="17"/>
  <c r="AL385" i="17" s="1"/>
  <c r="AU384" i="17"/>
  <c r="AT384" i="17"/>
  <c r="AS384" i="17"/>
  <c r="AR384" i="17"/>
  <c r="AQ384" i="17"/>
  <c r="AP384" i="17"/>
  <c r="AK384" i="17"/>
  <c r="AM384" i="17" s="1"/>
  <c r="AN384" i="17" s="1"/>
  <c r="AU383" i="17"/>
  <c r="AT383" i="17"/>
  <c r="AS383" i="17"/>
  <c r="AR383" i="17"/>
  <c r="AQ383" i="17"/>
  <c r="AU382" i="17"/>
  <c r="AT382" i="17"/>
  <c r="AS382" i="17"/>
  <c r="AR382" i="17"/>
  <c r="AQ382" i="17"/>
  <c r="AO382" i="17"/>
  <c r="AU381" i="17"/>
  <c r="AT381" i="17"/>
  <c r="AS381" i="17"/>
  <c r="AR381" i="17"/>
  <c r="AQ381" i="17"/>
  <c r="AU379" i="17"/>
  <c r="AT379" i="17"/>
  <c r="AS379" i="17"/>
  <c r="AR379" i="17"/>
  <c r="AQ379" i="17"/>
  <c r="AO379" i="17"/>
  <c r="R376" i="17"/>
  <c r="R375" i="17"/>
  <c r="M374" i="17"/>
  <c r="AP374" i="17" s="1"/>
  <c r="M373" i="17"/>
  <c r="M372" i="17"/>
  <c r="M371" i="17"/>
  <c r="AK371" i="17" s="1"/>
  <c r="AM371" i="17" s="1"/>
  <c r="AN371" i="17" s="1"/>
  <c r="N376" i="17"/>
  <c r="N375" i="17"/>
  <c r="N374" i="17"/>
  <c r="N373" i="17"/>
  <c r="N372" i="17"/>
  <c r="AO372" i="17" s="1"/>
  <c r="N371" i="17"/>
  <c r="AO371" i="17" s="1"/>
  <c r="N370" i="17"/>
  <c r="R369" i="17"/>
  <c r="N369" i="17"/>
  <c r="N367" i="17"/>
  <c r="N365" i="17"/>
  <c r="AK365" i="17" s="1"/>
  <c r="N366" i="17"/>
  <c r="R364" i="17"/>
  <c r="N364" i="17"/>
  <c r="AO364" i="17" s="1"/>
  <c r="R361" i="17"/>
  <c r="N363" i="17"/>
  <c r="AO363" i="17" s="1"/>
  <c r="N361" i="17"/>
  <c r="AO361" i="17" s="1"/>
  <c r="R360" i="17"/>
  <c r="R359" i="17"/>
  <c r="AK359" i="17" s="1"/>
  <c r="AM359" i="17" s="1"/>
  <c r="AN359" i="17" s="1"/>
  <c r="R358" i="17"/>
  <c r="R357" i="17"/>
  <c r="AK357" i="17" s="1"/>
  <c r="R356" i="17"/>
  <c r="R355" i="17"/>
  <c r="AK355" i="17" s="1"/>
  <c r="R353" i="17"/>
  <c r="N360" i="17"/>
  <c r="AO360" i="17" s="1"/>
  <c r="N359" i="17"/>
  <c r="N358" i="17"/>
  <c r="AK358" i="17" s="1"/>
  <c r="AM358" i="17" s="1"/>
  <c r="AN358" i="17" s="1"/>
  <c r="N357" i="17"/>
  <c r="N356" i="17"/>
  <c r="AK356" i="17" s="1"/>
  <c r="N355" i="17"/>
  <c r="AO355" i="17" s="1"/>
  <c r="N353" i="17"/>
  <c r="AK353" i="17" s="1"/>
  <c r="AU327" i="17"/>
  <c r="AT327" i="17"/>
  <c r="AS327" i="17"/>
  <c r="AR327" i="17"/>
  <c r="AQ327" i="17"/>
  <c r="AP327" i="17"/>
  <c r="N327" i="17"/>
  <c r="AO327" i="17"/>
  <c r="AK327" i="17"/>
  <c r="AM327" i="17" s="1"/>
  <c r="AN327" i="17" s="1"/>
  <c r="R314" i="17"/>
  <c r="AU314" i="17"/>
  <c r="AT314" i="17"/>
  <c r="AS314" i="17"/>
  <c r="AR314" i="17"/>
  <c r="AQ314" i="17"/>
  <c r="N314" i="17"/>
  <c r="AO314" i="17" s="1"/>
  <c r="R352" i="17"/>
  <c r="R351" i="17"/>
  <c r="AK351" i="17" s="1"/>
  <c r="AL351" i="17" s="1"/>
  <c r="R350" i="17"/>
  <c r="R349" i="17"/>
  <c r="R348" i="17"/>
  <c r="R347" i="17"/>
  <c r="R345" i="17"/>
  <c r="N352" i="17"/>
  <c r="AK352" i="17" s="1"/>
  <c r="AM352" i="17" s="1"/>
  <c r="AN352" i="17" s="1"/>
  <c r="N351" i="17"/>
  <c r="N350" i="17"/>
  <c r="AO350" i="17" s="1"/>
  <c r="N349" i="17"/>
  <c r="N348" i="17"/>
  <c r="N347" i="17"/>
  <c r="N345" i="17"/>
  <c r="AO345" i="17" s="1"/>
  <c r="N344" i="17"/>
  <c r="AK344" i="17" s="1"/>
  <c r="AM344" i="17" s="1"/>
  <c r="AN344" i="17" s="1"/>
  <c r="N343" i="17"/>
  <c r="AO343" i="17" s="1"/>
  <c r="N342" i="17"/>
  <c r="N341" i="17"/>
  <c r="N339" i="17"/>
  <c r="N336" i="17"/>
  <c r="N335" i="17"/>
  <c r="N334" i="17"/>
  <c r="N328" i="17"/>
  <c r="AO328" i="17" s="1"/>
  <c r="N326" i="17"/>
  <c r="AK326" i="17" s="1"/>
  <c r="AM326" i="17" s="1"/>
  <c r="AN326" i="17" s="1"/>
  <c r="N325" i="17"/>
  <c r="N324" i="17"/>
  <c r="R323" i="17"/>
  <c r="R322" i="17"/>
  <c r="N333" i="17"/>
  <c r="N332" i="17"/>
  <c r="N331" i="17"/>
  <c r="N330" i="17"/>
  <c r="AO330" i="17" s="1"/>
  <c r="N329" i="17"/>
  <c r="N323" i="17"/>
  <c r="N322" i="17"/>
  <c r="R321" i="17"/>
  <c r="R320" i="17"/>
  <c r="R319" i="17"/>
  <c r="M317" i="17"/>
  <c r="R316" i="17"/>
  <c r="AK316" i="17" s="1"/>
  <c r="AM316" i="17" s="1"/>
  <c r="AN316" i="17" s="1"/>
  <c r="N321" i="17"/>
  <c r="N320" i="17"/>
  <c r="N319" i="17"/>
  <c r="N317" i="17"/>
  <c r="N316" i="17"/>
  <c r="R315" i="17"/>
  <c r="R313" i="17"/>
  <c r="R312" i="17"/>
  <c r="R311" i="17"/>
  <c r="N315" i="17"/>
  <c r="N313" i="17"/>
  <c r="N312" i="17"/>
  <c r="N311" i="17"/>
  <c r="M308" i="17"/>
  <c r="M303" i="17"/>
  <c r="N303" i="17"/>
  <c r="M301" i="17"/>
  <c r="M299" i="17"/>
  <c r="N302" i="17"/>
  <c r="N301" i="17"/>
  <c r="N300" i="17"/>
  <c r="N299" i="17"/>
  <c r="N298" i="17"/>
  <c r="AK298" i="17" s="1"/>
  <c r="AL298" i="17" s="1"/>
  <c r="M294" i="17"/>
  <c r="N310" i="17"/>
  <c r="N309" i="17"/>
  <c r="AO309" i="17" s="1"/>
  <c r="N308" i="17"/>
  <c r="N307" i="17"/>
  <c r="N306" i="17"/>
  <c r="N305" i="17"/>
  <c r="N304" i="17"/>
  <c r="N297" i="17"/>
  <c r="AK297" i="17" s="1"/>
  <c r="AM297" i="17" s="1"/>
  <c r="AN297" i="17" s="1"/>
  <c r="N295" i="17"/>
  <c r="AK295" i="17" s="1"/>
  <c r="AM295" i="17" s="1"/>
  <c r="AN295" i="17" s="1"/>
  <c r="N294" i="17"/>
  <c r="AO294" i="17" s="1"/>
  <c r="N292" i="17"/>
  <c r="N291" i="17"/>
  <c r="M290" i="17"/>
  <c r="N290" i="17"/>
  <c r="AK290" i="17" s="1"/>
  <c r="AM290" i="17" s="1"/>
  <c r="AN290" i="17" s="1"/>
  <c r="N289" i="17"/>
  <c r="N288" i="17"/>
  <c r="AK288" i="17" s="1"/>
  <c r="AU455" i="17"/>
  <c r="AT455" i="17"/>
  <c r="AS455" i="17"/>
  <c r="AR455" i="17"/>
  <c r="AQ455" i="17"/>
  <c r="AP455" i="17"/>
  <c r="AO455" i="17"/>
  <c r="AK455" i="17"/>
  <c r="AM455" i="17" s="1"/>
  <c r="AN455" i="17" s="1"/>
  <c r="AU454" i="17"/>
  <c r="AT454" i="17"/>
  <c r="AS454" i="17"/>
  <c r="AR454" i="17"/>
  <c r="AQ454" i="17"/>
  <c r="AP454" i="17"/>
  <c r="AO454" i="17"/>
  <c r="AK454" i="17"/>
  <c r="AM454" i="17" s="1"/>
  <c r="AN454" i="17" s="1"/>
  <c r="AU378" i="17"/>
  <c r="AT378" i="17"/>
  <c r="AS378" i="17"/>
  <c r="AR378" i="17"/>
  <c r="AQ378" i="17"/>
  <c r="AP378" i="17"/>
  <c r="AO378" i="17"/>
  <c r="AK378" i="17"/>
  <c r="AM378" i="17" s="1"/>
  <c r="AN378" i="17" s="1"/>
  <c r="AU377" i="17"/>
  <c r="AT377" i="17"/>
  <c r="AS377" i="17"/>
  <c r="AR377" i="17"/>
  <c r="AQ377" i="17"/>
  <c r="AP377" i="17"/>
  <c r="AO377" i="17"/>
  <c r="AK377" i="17"/>
  <c r="AM377" i="17" s="1"/>
  <c r="AN377" i="17" s="1"/>
  <c r="AU376" i="17"/>
  <c r="AT376" i="17"/>
  <c r="AS376" i="17"/>
  <c r="AR376" i="17"/>
  <c r="AQ376" i="17"/>
  <c r="AP376" i="17"/>
  <c r="AU375" i="17"/>
  <c r="AT375" i="17"/>
  <c r="AS375" i="17"/>
  <c r="AR375" i="17"/>
  <c r="AQ375" i="17"/>
  <c r="AP375" i="17"/>
  <c r="AO375" i="17"/>
  <c r="AK375" i="17"/>
  <c r="AU374" i="17"/>
  <c r="AT374" i="17"/>
  <c r="AS374" i="17"/>
  <c r="AR374" i="17"/>
  <c r="AQ374" i="17"/>
  <c r="AO374" i="17"/>
  <c r="AU373" i="17"/>
  <c r="AT373" i="17"/>
  <c r="AS373" i="17"/>
  <c r="AR373" i="17"/>
  <c r="AQ373" i="17"/>
  <c r="AP373" i="17"/>
  <c r="AO373" i="17"/>
  <c r="AK373" i="17"/>
  <c r="AL373" i="17" s="1"/>
  <c r="AU372" i="17"/>
  <c r="AT372" i="17"/>
  <c r="AS372" i="17"/>
  <c r="AR372" i="17"/>
  <c r="AQ372" i="17"/>
  <c r="AU371" i="17"/>
  <c r="AT371" i="17"/>
  <c r="AS371" i="17"/>
  <c r="AR371" i="17"/>
  <c r="AQ371" i="17"/>
  <c r="AP371" i="17"/>
  <c r="AU370" i="17"/>
  <c r="AT370" i="17"/>
  <c r="AS370" i="17"/>
  <c r="AR370" i="17"/>
  <c r="AQ370" i="17"/>
  <c r="AP370" i="17"/>
  <c r="AU369" i="17"/>
  <c r="AT369" i="17"/>
  <c r="AS369" i="17"/>
  <c r="AR369" i="17"/>
  <c r="AQ369" i="17"/>
  <c r="AP369" i="17"/>
  <c r="AU367" i="17"/>
  <c r="AT367" i="17"/>
  <c r="AS367" i="17"/>
  <c r="AR367" i="17"/>
  <c r="AQ367" i="17"/>
  <c r="AO367" i="17"/>
  <c r="AU366" i="17"/>
  <c r="AT366" i="17"/>
  <c r="AS366" i="17"/>
  <c r="AR366" i="17"/>
  <c r="AQ366" i="17"/>
  <c r="AP366" i="17"/>
  <c r="AO366" i="17"/>
  <c r="AK366" i="17"/>
  <c r="AU365" i="17"/>
  <c r="AT365" i="17"/>
  <c r="AS365" i="17"/>
  <c r="AR365" i="17"/>
  <c r="AQ365" i="17"/>
  <c r="AP365" i="17"/>
  <c r="AO365" i="17"/>
  <c r="AU364" i="17"/>
  <c r="AT364" i="17"/>
  <c r="AS364" i="17"/>
  <c r="AR364" i="17"/>
  <c r="AQ364" i="17"/>
  <c r="AP364" i="17"/>
  <c r="AK364" i="17"/>
  <c r="AL364" i="17" s="1"/>
  <c r="AU363" i="17"/>
  <c r="AT363" i="17"/>
  <c r="AS363" i="17"/>
  <c r="AR363" i="17"/>
  <c r="AQ363" i="17"/>
  <c r="AP363" i="17"/>
  <c r="AK363" i="17"/>
  <c r="AL363" i="17" s="1"/>
  <c r="AU361" i="17"/>
  <c r="AT361" i="17"/>
  <c r="AS361" i="17"/>
  <c r="AR361" i="17"/>
  <c r="AQ361" i="17"/>
  <c r="AP361" i="17"/>
  <c r="AU360" i="17"/>
  <c r="AT360" i="17"/>
  <c r="AS360" i="17"/>
  <c r="AR360" i="17"/>
  <c r="AQ360" i="17"/>
  <c r="AP360" i="17"/>
  <c r="AU359" i="17"/>
  <c r="AT359" i="17"/>
  <c r="AS359" i="17"/>
  <c r="AR359" i="17"/>
  <c r="AQ359" i="17"/>
  <c r="AP359" i="17"/>
  <c r="AO359" i="17"/>
  <c r="AU358" i="17"/>
  <c r="AT358" i="17"/>
  <c r="AS358" i="17"/>
  <c r="AR358" i="17"/>
  <c r="AQ358" i="17"/>
  <c r="AP358" i="17"/>
  <c r="AO358" i="17"/>
  <c r="AU357" i="17"/>
  <c r="AT357" i="17"/>
  <c r="AS357" i="17"/>
  <c r="AR357" i="17"/>
  <c r="AQ357" i="17"/>
  <c r="AP357" i="17"/>
  <c r="AO357" i="17"/>
  <c r="AU356" i="17"/>
  <c r="AT356" i="17"/>
  <c r="AS356" i="17"/>
  <c r="AR356" i="17"/>
  <c r="AQ356" i="17"/>
  <c r="AP356" i="17"/>
  <c r="AO356" i="17"/>
  <c r="AU355" i="17"/>
  <c r="AT355" i="17"/>
  <c r="AS355" i="17"/>
  <c r="AR355" i="17"/>
  <c r="AQ355" i="17"/>
  <c r="AP355" i="17"/>
  <c r="AU353" i="17"/>
  <c r="AT353" i="17"/>
  <c r="AS353" i="17"/>
  <c r="AR353" i="17"/>
  <c r="AQ353" i="17"/>
  <c r="AP353" i="17"/>
  <c r="AU352" i="17"/>
  <c r="AT352" i="17"/>
  <c r="AS352" i="17"/>
  <c r="AR352" i="17"/>
  <c r="AQ352" i="17"/>
  <c r="AP352" i="17"/>
  <c r="AO352" i="17"/>
  <c r="AU351" i="17"/>
  <c r="AT351" i="17"/>
  <c r="AS351" i="17"/>
  <c r="AR351" i="17"/>
  <c r="AQ351" i="17"/>
  <c r="AP351" i="17"/>
  <c r="AO351" i="17"/>
  <c r="AU350" i="17"/>
  <c r="AT350" i="17"/>
  <c r="AS350" i="17"/>
  <c r="AR350" i="17"/>
  <c r="AQ350" i="17"/>
  <c r="AP350" i="17"/>
  <c r="AU349" i="17"/>
  <c r="AT349" i="17"/>
  <c r="AS349" i="17"/>
  <c r="AR349" i="17"/>
  <c r="AQ349" i="17"/>
  <c r="AP349" i="17"/>
  <c r="AO349" i="17"/>
  <c r="AK349" i="17"/>
  <c r="AM349" i="17" s="1"/>
  <c r="AN349" i="17" s="1"/>
  <c r="AU348" i="17"/>
  <c r="AT348" i="17"/>
  <c r="AS348" i="17"/>
  <c r="AR348" i="17"/>
  <c r="AQ348" i="17"/>
  <c r="AP348" i="17"/>
  <c r="AO348" i="17"/>
  <c r="AK348" i="17"/>
  <c r="AU347" i="17"/>
  <c r="AT347" i="17"/>
  <c r="AS347" i="17"/>
  <c r="AR347" i="17"/>
  <c r="AQ347" i="17"/>
  <c r="AP347" i="17"/>
  <c r="AO347" i="17"/>
  <c r="AK347" i="17"/>
  <c r="AU345" i="17"/>
  <c r="AT345" i="17"/>
  <c r="AS345" i="17"/>
  <c r="AR345" i="17"/>
  <c r="AQ345" i="17"/>
  <c r="AP345" i="17"/>
  <c r="AU344" i="17"/>
  <c r="AT344" i="17"/>
  <c r="AS344" i="17"/>
  <c r="AR344" i="17"/>
  <c r="AQ344" i="17"/>
  <c r="AP344" i="17"/>
  <c r="AO344" i="17"/>
  <c r="AU343" i="17"/>
  <c r="AT343" i="17"/>
  <c r="AS343" i="17"/>
  <c r="AR343" i="17"/>
  <c r="AQ343" i="17"/>
  <c r="AP343" i="17"/>
  <c r="AK343" i="17"/>
  <c r="AU342" i="17"/>
  <c r="AT342" i="17"/>
  <c r="AS342" i="17"/>
  <c r="AR342" i="17"/>
  <c r="AQ342" i="17"/>
  <c r="AP342" i="17"/>
  <c r="AO342" i="17"/>
  <c r="AK342" i="17"/>
  <c r="AM342" i="17" s="1"/>
  <c r="AN342" i="17" s="1"/>
  <c r="AU341" i="17"/>
  <c r="AT341" i="17"/>
  <c r="AS341" i="17"/>
  <c r="AR341" i="17"/>
  <c r="AQ341" i="17"/>
  <c r="AP341" i="17"/>
  <c r="AU339" i="17"/>
  <c r="AT339" i="17"/>
  <c r="AS339" i="17"/>
  <c r="AR339" i="17"/>
  <c r="AQ339" i="17"/>
  <c r="AP339" i="17"/>
  <c r="AO339" i="17"/>
  <c r="AK339" i="17"/>
  <c r="AL339" i="17" s="1"/>
  <c r="AU336" i="17"/>
  <c r="AT336" i="17"/>
  <c r="AS336" i="17"/>
  <c r="AR336" i="17"/>
  <c r="AQ336" i="17"/>
  <c r="AP336" i="17"/>
  <c r="AO336" i="17"/>
  <c r="AK336" i="17"/>
  <c r="AU335" i="17"/>
  <c r="AT335" i="17"/>
  <c r="AS335" i="17"/>
  <c r="AR335" i="17"/>
  <c r="AQ335" i="17"/>
  <c r="AP335" i="17"/>
  <c r="AO335" i="17"/>
  <c r="AK335" i="17"/>
  <c r="AM335" i="17" s="1"/>
  <c r="AN335" i="17" s="1"/>
  <c r="AU334" i="17"/>
  <c r="AT334" i="17"/>
  <c r="AS334" i="17"/>
  <c r="AR334" i="17"/>
  <c r="AQ334" i="17"/>
  <c r="AP334" i="17"/>
  <c r="AO334" i="17"/>
  <c r="AK334" i="17"/>
  <c r="AL334" i="17" s="1"/>
  <c r="AU333" i="17"/>
  <c r="AT333" i="17"/>
  <c r="AS333" i="17"/>
  <c r="AR333" i="17"/>
  <c r="AQ333" i="17"/>
  <c r="AP333" i="17"/>
  <c r="AO333" i="17"/>
  <c r="AK333" i="17"/>
  <c r="AM333" i="17" s="1"/>
  <c r="AN333" i="17" s="1"/>
  <c r="AU332" i="17"/>
  <c r="AT332" i="17"/>
  <c r="AS332" i="17"/>
  <c r="AR332" i="17"/>
  <c r="AQ332" i="17"/>
  <c r="AP332" i="17"/>
  <c r="AO332" i="17"/>
  <c r="AK332" i="17"/>
  <c r="AU331" i="17"/>
  <c r="AT331" i="17"/>
  <c r="AS331" i="17"/>
  <c r="AR331" i="17"/>
  <c r="AQ331" i="17"/>
  <c r="AP331" i="17"/>
  <c r="AU330" i="17"/>
  <c r="AT330" i="17"/>
  <c r="AS330" i="17"/>
  <c r="AR330" i="17"/>
  <c r="AQ330" i="17"/>
  <c r="AU329" i="17"/>
  <c r="AT329" i="17"/>
  <c r="AS329" i="17"/>
  <c r="AR329" i="17"/>
  <c r="AQ329" i="17"/>
  <c r="AP329" i="17"/>
  <c r="AO329" i="17"/>
  <c r="AK329" i="17"/>
  <c r="AM329" i="17" s="1"/>
  <c r="AN329" i="17" s="1"/>
  <c r="AU328" i="17"/>
  <c r="AT328" i="17"/>
  <c r="AS328" i="17"/>
  <c r="AR328" i="17"/>
  <c r="AQ328" i="17"/>
  <c r="AP328" i="17"/>
  <c r="AK328" i="17"/>
  <c r="AU326" i="17"/>
  <c r="AT326" i="17"/>
  <c r="AS326" i="17"/>
  <c r="AR326" i="17"/>
  <c r="AQ326" i="17"/>
  <c r="AP326" i="17"/>
  <c r="AO326" i="17"/>
  <c r="AU325" i="17"/>
  <c r="AT325" i="17"/>
  <c r="AS325" i="17"/>
  <c r="AR325" i="17"/>
  <c r="AQ325" i="17"/>
  <c r="AP325" i="17"/>
  <c r="AO325" i="17"/>
  <c r="AK325" i="17"/>
  <c r="AL325" i="17" s="1"/>
  <c r="AU324" i="17"/>
  <c r="AT324" i="17"/>
  <c r="AS324" i="17"/>
  <c r="AR324" i="17"/>
  <c r="AQ324" i="17"/>
  <c r="AP324" i="17"/>
  <c r="AU323" i="17"/>
  <c r="AT323" i="17"/>
  <c r="AS323" i="17"/>
  <c r="AR323" i="17"/>
  <c r="AQ323" i="17"/>
  <c r="AP323" i="17"/>
  <c r="AU322" i="17"/>
  <c r="AT322" i="17"/>
  <c r="AS322" i="17"/>
  <c r="AR322" i="17"/>
  <c r="AQ322" i="17"/>
  <c r="AP322" i="17"/>
  <c r="AO322" i="17"/>
  <c r="AK322" i="17"/>
  <c r="AU321" i="17"/>
  <c r="AT321" i="17"/>
  <c r="AS321" i="17"/>
  <c r="AR321" i="17"/>
  <c r="AQ321" i="17"/>
  <c r="AO321" i="17"/>
  <c r="AU320" i="17"/>
  <c r="AT320" i="17"/>
  <c r="AS320" i="17"/>
  <c r="AR320" i="17"/>
  <c r="AQ320" i="17"/>
  <c r="AP320" i="17"/>
  <c r="AU319" i="17"/>
  <c r="AT319" i="17"/>
  <c r="AS319" i="17"/>
  <c r="AR319" i="17"/>
  <c r="AQ319" i="17"/>
  <c r="AP319" i="17"/>
  <c r="AO319" i="17"/>
  <c r="AK319" i="17"/>
  <c r="AU317" i="17"/>
  <c r="AT317" i="17"/>
  <c r="AS317" i="17"/>
  <c r="AR317" i="17"/>
  <c r="AQ317" i="17"/>
  <c r="AO317" i="17"/>
  <c r="AU316" i="17"/>
  <c r="AT316" i="17"/>
  <c r="AS316" i="17"/>
  <c r="AR316" i="17"/>
  <c r="AQ316" i="17"/>
  <c r="AP316" i="17"/>
  <c r="AO316" i="17"/>
  <c r="AU315" i="17"/>
  <c r="AT315" i="17"/>
  <c r="AS315" i="17"/>
  <c r="AR315" i="17"/>
  <c r="AQ315" i="17"/>
  <c r="AP315" i="17"/>
  <c r="AU313" i="17"/>
  <c r="AT313" i="17"/>
  <c r="AS313" i="17"/>
  <c r="AR313" i="17"/>
  <c r="AQ313" i="17"/>
  <c r="AP313" i="17"/>
  <c r="AO313" i="17"/>
  <c r="AK313" i="17"/>
  <c r="AM313" i="17" s="1"/>
  <c r="AN313" i="17" s="1"/>
  <c r="AU312" i="17"/>
  <c r="AT312" i="17"/>
  <c r="AS312" i="17"/>
  <c r="AR312" i="17"/>
  <c r="AQ312" i="17"/>
  <c r="AP312" i="17"/>
  <c r="AO312" i="17"/>
  <c r="AK312" i="17"/>
  <c r="AL312" i="17" s="1"/>
  <c r="AM312" i="17"/>
  <c r="AN312" i="17" s="1"/>
  <c r="AU311" i="17"/>
  <c r="AT311" i="17"/>
  <c r="AS311" i="17"/>
  <c r="AR311" i="17"/>
  <c r="AQ311" i="17"/>
  <c r="AO311" i="17"/>
  <c r="AK311" i="17"/>
  <c r="AM311" i="17" s="1"/>
  <c r="AN311" i="17" s="1"/>
  <c r="AU310" i="17"/>
  <c r="AT310" i="17"/>
  <c r="AS310" i="17"/>
  <c r="AR310" i="17"/>
  <c r="AQ310" i="17"/>
  <c r="AP310" i="17"/>
  <c r="AO310" i="17"/>
  <c r="AK310" i="17"/>
  <c r="AM310" i="17" s="1"/>
  <c r="AN310" i="17" s="1"/>
  <c r="AU309" i="17"/>
  <c r="AT309" i="17"/>
  <c r="AS309" i="17"/>
  <c r="AR309" i="17"/>
  <c r="AQ309" i="17"/>
  <c r="AP309" i="17"/>
  <c r="AU308" i="17"/>
  <c r="AT308" i="17"/>
  <c r="AS308" i="17"/>
  <c r="AR308" i="17"/>
  <c r="AQ308" i="17"/>
  <c r="AP308" i="17"/>
  <c r="AO308" i="17"/>
  <c r="AK308" i="17"/>
  <c r="AU307" i="17"/>
  <c r="AT307" i="17"/>
  <c r="AS307" i="17"/>
  <c r="AR307" i="17"/>
  <c r="AQ307" i="17"/>
  <c r="AP307" i="17"/>
  <c r="AO307" i="17"/>
  <c r="AK307" i="17"/>
  <c r="AM307" i="17" s="1"/>
  <c r="AN307" i="17" s="1"/>
  <c r="AU306" i="17"/>
  <c r="AT306" i="17"/>
  <c r="AS306" i="17"/>
  <c r="AR306" i="17"/>
  <c r="AQ306" i="17"/>
  <c r="AP306" i="17"/>
  <c r="AO306" i="17"/>
  <c r="AK306" i="17"/>
  <c r="AL306" i="17" s="1"/>
  <c r="AU305" i="17"/>
  <c r="AT305" i="17"/>
  <c r="AS305" i="17"/>
  <c r="AR305" i="17"/>
  <c r="AQ305" i="17"/>
  <c r="AP305" i="17"/>
  <c r="AO305" i="17"/>
  <c r="AK305" i="17"/>
  <c r="AM305" i="17" s="1"/>
  <c r="AN305" i="17" s="1"/>
  <c r="AU304" i="17"/>
  <c r="AT304" i="17"/>
  <c r="AS304" i="17"/>
  <c r="AR304" i="17"/>
  <c r="AQ304" i="17"/>
  <c r="AP304" i="17"/>
  <c r="AO304" i="17"/>
  <c r="AK304" i="17"/>
  <c r="AM304" i="17" s="1"/>
  <c r="AN304" i="17" s="1"/>
  <c r="AU303" i="17"/>
  <c r="AT303" i="17"/>
  <c r="AS303" i="17"/>
  <c r="AR303" i="17"/>
  <c r="AQ303" i="17"/>
  <c r="AP303" i="17"/>
  <c r="AO303" i="17"/>
  <c r="AK303" i="17"/>
  <c r="AL303" i="17" s="1"/>
  <c r="AU302" i="17"/>
  <c r="AT302" i="17"/>
  <c r="AS302" i="17"/>
  <c r="AR302" i="17"/>
  <c r="AQ302" i="17"/>
  <c r="AP302" i="17"/>
  <c r="AO302" i="17"/>
  <c r="AK302" i="17"/>
  <c r="AM302" i="17" s="1"/>
  <c r="AN302" i="17" s="1"/>
  <c r="AU301" i="17"/>
  <c r="AT301" i="17"/>
  <c r="AS301" i="17"/>
  <c r="AR301" i="17"/>
  <c r="AQ301" i="17"/>
  <c r="AP301" i="17"/>
  <c r="AO301" i="17"/>
  <c r="AK301" i="17"/>
  <c r="AU300" i="17"/>
  <c r="AT300" i="17"/>
  <c r="AS300" i="17"/>
  <c r="AR300" i="17"/>
  <c r="AQ300" i="17"/>
  <c r="AP300" i="17"/>
  <c r="AO300" i="17"/>
  <c r="AK300" i="17"/>
  <c r="AM300" i="17" s="1"/>
  <c r="AN300" i="17" s="1"/>
  <c r="AU299" i="17"/>
  <c r="AT299" i="17"/>
  <c r="AS299" i="17"/>
  <c r="AR299" i="17"/>
  <c r="AQ299" i="17"/>
  <c r="AO299" i="17"/>
  <c r="AU298" i="17"/>
  <c r="AT298" i="17"/>
  <c r="AS298" i="17"/>
  <c r="AR298" i="17"/>
  <c r="AQ298" i="17"/>
  <c r="AP298" i="17"/>
  <c r="AO298" i="17"/>
  <c r="AU297" i="17"/>
  <c r="AT297" i="17"/>
  <c r="AS297" i="17"/>
  <c r="AR297" i="17"/>
  <c r="AQ297" i="17"/>
  <c r="AP297" i="17"/>
  <c r="AO297" i="17"/>
  <c r="AU295" i="17"/>
  <c r="AT295" i="17"/>
  <c r="AS295" i="17"/>
  <c r="AR295" i="17"/>
  <c r="AQ295" i="17"/>
  <c r="AP295" i="17"/>
  <c r="AO295" i="17"/>
  <c r="AU294" i="17"/>
  <c r="AT294" i="17"/>
  <c r="AS294" i="17"/>
  <c r="AR294" i="17"/>
  <c r="AQ294" i="17"/>
  <c r="AP294" i="17"/>
  <c r="AU292" i="17"/>
  <c r="AT292" i="17"/>
  <c r="AS292" i="17"/>
  <c r="AR292" i="17"/>
  <c r="AQ292" i="17"/>
  <c r="AP292" i="17"/>
  <c r="AO292" i="17"/>
  <c r="AK292" i="17"/>
  <c r="AM292" i="17" s="1"/>
  <c r="AN292" i="17" s="1"/>
  <c r="AU291" i="17"/>
  <c r="AT291" i="17"/>
  <c r="AS291" i="17"/>
  <c r="AR291" i="17"/>
  <c r="AQ291" i="17"/>
  <c r="AP291" i="17"/>
  <c r="AO291" i="17"/>
  <c r="AK291" i="17"/>
  <c r="AM291" i="17" s="1"/>
  <c r="AN291" i="17" s="1"/>
  <c r="AU290" i="17"/>
  <c r="AT290" i="17"/>
  <c r="AS290" i="17"/>
  <c r="AR290" i="17"/>
  <c r="AQ290" i="17"/>
  <c r="AP290" i="17"/>
  <c r="AO290" i="17"/>
  <c r="AU289" i="17"/>
  <c r="AT289" i="17"/>
  <c r="AS289" i="17"/>
  <c r="AR289" i="17"/>
  <c r="AQ289" i="17"/>
  <c r="AP289" i="17"/>
  <c r="AO289" i="17"/>
  <c r="AK289" i="17"/>
  <c r="AM289" i="17" s="1"/>
  <c r="AN289" i="17" s="1"/>
  <c r="AU288" i="17"/>
  <c r="AT288" i="17"/>
  <c r="AS288" i="17"/>
  <c r="AR288" i="17"/>
  <c r="AQ288" i="17"/>
  <c r="AP288" i="17"/>
  <c r="AO288" i="17"/>
  <c r="R201" i="17"/>
  <c r="AK201" i="17" s="1"/>
  <c r="M201" i="17"/>
  <c r="R199" i="17"/>
  <c r="R193" i="17"/>
  <c r="M193" i="17"/>
  <c r="M192" i="17"/>
  <c r="M191" i="17"/>
  <c r="AP191" i="17" s="1"/>
  <c r="M190" i="17"/>
  <c r="N190" i="17"/>
  <c r="AO190" i="17" s="1"/>
  <c r="M189" i="17"/>
  <c r="N188" i="17"/>
  <c r="AO188" i="17" s="1"/>
  <c r="R187" i="17"/>
  <c r="M187" i="17"/>
  <c r="R186" i="17"/>
  <c r="T186" i="17"/>
  <c r="M186" i="17"/>
  <c r="AK186" i="17" s="1"/>
  <c r="AM186" i="17" s="1"/>
  <c r="AN186" i="17" s="1"/>
  <c r="N186" i="17"/>
  <c r="AO186" i="17" s="1"/>
  <c r="T185" i="17"/>
  <c r="N185" i="17"/>
  <c r="AK185" i="17" s="1"/>
  <c r="N184" i="17"/>
  <c r="AK184" i="17" s="1"/>
  <c r="AM184" i="17" s="1"/>
  <c r="AN184" i="17" s="1"/>
  <c r="R183" i="17"/>
  <c r="N183" i="17"/>
  <c r="N182" i="17"/>
  <c r="T181" i="17"/>
  <c r="N181" i="17"/>
  <c r="AK181" i="17" s="1"/>
  <c r="AL181" i="17" s="1"/>
  <c r="R180" i="17"/>
  <c r="M180" i="17"/>
  <c r="N180" i="17"/>
  <c r="R179" i="17"/>
  <c r="M179" i="17"/>
  <c r="R178" i="17"/>
  <c r="AK178" i="17" s="1"/>
  <c r="AM178" i="17" s="1"/>
  <c r="AN178" i="17" s="1"/>
  <c r="M178" i="17"/>
  <c r="N202" i="17"/>
  <c r="AO202" i="17" s="1"/>
  <c r="N201" i="17"/>
  <c r="N200" i="17"/>
  <c r="AO200" i="17" s="1"/>
  <c r="N199" i="17"/>
  <c r="N198" i="17"/>
  <c r="AO198" i="17" s="1"/>
  <c r="N197" i="17"/>
  <c r="AO197" i="17" s="1"/>
  <c r="N196" i="17"/>
  <c r="AO196" i="17" s="1"/>
  <c r="N195" i="17"/>
  <c r="N194" i="17"/>
  <c r="AO194" i="17" s="1"/>
  <c r="N193" i="17"/>
  <c r="N192" i="17"/>
  <c r="AO192" i="17" s="1"/>
  <c r="N191" i="17"/>
  <c r="N189" i="17"/>
  <c r="N187" i="17"/>
  <c r="AO187" i="17" s="1"/>
  <c r="N179" i="17"/>
  <c r="N178" i="17"/>
  <c r="N177" i="17"/>
  <c r="AK177" i="17" s="1"/>
  <c r="AM177" i="17" s="1"/>
  <c r="AN177" i="17" s="1"/>
  <c r="AU202" i="17"/>
  <c r="AT202" i="17"/>
  <c r="AS202" i="17"/>
  <c r="AR202" i="17"/>
  <c r="AQ202" i="17"/>
  <c r="AP202" i="17"/>
  <c r="AU201" i="17"/>
  <c r="AT201" i="17"/>
  <c r="AS201" i="17"/>
  <c r="AR201" i="17"/>
  <c r="AQ201" i="17"/>
  <c r="AP201" i="17"/>
  <c r="AO201" i="17"/>
  <c r="AU200" i="17"/>
  <c r="AT200" i="17"/>
  <c r="AS200" i="17"/>
  <c r="AR200" i="17"/>
  <c r="AQ200" i="17"/>
  <c r="AP200" i="17"/>
  <c r="AK200" i="17"/>
  <c r="AM200" i="17" s="1"/>
  <c r="AN200" i="17" s="1"/>
  <c r="AU199" i="17"/>
  <c r="AT199" i="17"/>
  <c r="AS199" i="17"/>
  <c r="AR199" i="17"/>
  <c r="AQ199" i="17"/>
  <c r="AP199" i="17"/>
  <c r="AO199" i="17"/>
  <c r="AU198" i="17"/>
  <c r="AT198" i="17"/>
  <c r="AS198" i="17"/>
  <c r="AR198" i="17"/>
  <c r="AQ198" i="17"/>
  <c r="AP198" i="17"/>
  <c r="AK198" i="17"/>
  <c r="AL198" i="17" s="1"/>
  <c r="AU197" i="17"/>
  <c r="AT197" i="17"/>
  <c r="AS197" i="17"/>
  <c r="AR197" i="17"/>
  <c r="AQ197" i="17"/>
  <c r="AP197" i="17"/>
  <c r="AU196" i="17"/>
  <c r="AT196" i="17"/>
  <c r="AS196" i="17"/>
  <c r="AR196" i="17"/>
  <c r="AQ196" i="17"/>
  <c r="AP196" i="17"/>
  <c r="AU195" i="17"/>
  <c r="AT195" i="17"/>
  <c r="AS195" i="17"/>
  <c r="AR195" i="17"/>
  <c r="AQ195" i="17"/>
  <c r="AP195" i="17"/>
  <c r="AO195" i="17"/>
  <c r="AK195" i="17"/>
  <c r="AL195" i="17" s="1"/>
  <c r="AU194" i="17"/>
  <c r="AT194" i="17"/>
  <c r="AS194" i="17"/>
  <c r="AR194" i="17"/>
  <c r="AQ194" i="17"/>
  <c r="AP194" i="17"/>
  <c r="AU193" i="17"/>
  <c r="AT193" i="17"/>
  <c r="AS193" i="17"/>
  <c r="AR193" i="17"/>
  <c r="AQ193" i="17"/>
  <c r="AO193" i="17"/>
  <c r="AU192" i="17"/>
  <c r="AT192" i="17"/>
  <c r="AS192" i="17"/>
  <c r="AR192" i="17"/>
  <c r="AQ192" i="17"/>
  <c r="AU191" i="17"/>
  <c r="AT191" i="17"/>
  <c r="AS191" i="17"/>
  <c r="AR191" i="17"/>
  <c r="AQ191" i="17"/>
  <c r="AO191" i="17"/>
  <c r="AU190" i="17"/>
  <c r="AT190" i="17"/>
  <c r="AS190" i="17"/>
  <c r="AR190" i="17"/>
  <c r="AQ190" i="17"/>
  <c r="AP190" i="17"/>
  <c r="AK190" i="17"/>
  <c r="AL190" i="17" s="1"/>
  <c r="AU189" i="17"/>
  <c r="AT189" i="17"/>
  <c r="AS189" i="17"/>
  <c r="AR189" i="17"/>
  <c r="AQ189" i="17"/>
  <c r="AP189" i="17"/>
  <c r="AU188" i="17"/>
  <c r="AT188" i="17"/>
  <c r="AS188" i="17"/>
  <c r="AR188" i="17"/>
  <c r="AQ188" i="17"/>
  <c r="AP188" i="17"/>
  <c r="AU187" i="17"/>
  <c r="AT187" i="17"/>
  <c r="AS187" i="17"/>
  <c r="AR187" i="17"/>
  <c r="AQ187" i="17"/>
  <c r="AU186" i="17"/>
  <c r="AT186" i="17"/>
  <c r="AS186" i="17"/>
  <c r="AR186" i="17"/>
  <c r="AQ186" i="17"/>
  <c r="AP186" i="17"/>
  <c r="AU185" i="17"/>
  <c r="AT185" i="17"/>
  <c r="AS185" i="17"/>
  <c r="AR185" i="17"/>
  <c r="AQ185" i="17"/>
  <c r="AP185" i="17"/>
  <c r="AO185" i="17"/>
  <c r="AU184" i="17"/>
  <c r="AT184" i="17"/>
  <c r="AS184" i="17"/>
  <c r="AR184" i="17"/>
  <c r="AQ184" i="17"/>
  <c r="AP184" i="17"/>
  <c r="AO184" i="17"/>
  <c r="AU183" i="17"/>
  <c r="AT183" i="17"/>
  <c r="AS183" i="17"/>
  <c r="AR183" i="17"/>
  <c r="AQ183" i="17"/>
  <c r="AP183" i="17"/>
  <c r="AU182" i="17"/>
  <c r="AT182" i="17"/>
  <c r="AS182" i="17"/>
  <c r="AR182" i="17"/>
  <c r="AQ182" i="17"/>
  <c r="AP182" i="17"/>
  <c r="AU181" i="17"/>
  <c r="AT181" i="17"/>
  <c r="AS181" i="17"/>
  <c r="AR181" i="17"/>
  <c r="AQ181" i="17"/>
  <c r="AP181" i="17"/>
  <c r="AO181" i="17"/>
  <c r="AM181" i="17"/>
  <c r="AN181" i="17" s="1"/>
  <c r="R176" i="17"/>
  <c r="R175" i="17"/>
  <c r="AK175" i="17" s="1"/>
  <c r="AL175" i="17" s="1"/>
  <c r="R169" i="17"/>
  <c r="AK169" i="17" s="1"/>
  <c r="AM169" i="17" s="1"/>
  <c r="AN169" i="17" s="1"/>
  <c r="R165" i="17"/>
  <c r="M165" i="17"/>
  <c r="R164" i="17"/>
  <c r="R163" i="17"/>
  <c r="M163" i="17"/>
  <c r="N160" i="17"/>
  <c r="AK160" i="17" s="1"/>
  <c r="AM160" i="17" s="1"/>
  <c r="AN160" i="17" s="1"/>
  <c r="M159" i="17"/>
  <c r="N158" i="17"/>
  <c r="AK158" i="17" s="1"/>
  <c r="AM158" i="17" s="1"/>
  <c r="AN158" i="17" s="1"/>
  <c r="R157" i="17"/>
  <c r="AK157" i="17" s="1"/>
  <c r="M157" i="17"/>
  <c r="R156" i="17"/>
  <c r="M156" i="17"/>
  <c r="R155" i="17"/>
  <c r="N159" i="17"/>
  <c r="N155" i="17"/>
  <c r="AO155" i="17" s="1"/>
  <c r="R152" i="17"/>
  <c r="M151" i="17"/>
  <c r="R148" i="17"/>
  <c r="AK148" i="17" s="1"/>
  <c r="AM148" i="17" s="1"/>
  <c r="AN148" i="17" s="1"/>
  <c r="Q147" i="17"/>
  <c r="N148" i="17"/>
  <c r="N149" i="17"/>
  <c r="AO149" i="17" s="1"/>
  <c r="N151" i="17"/>
  <c r="AO151" i="17" s="1"/>
  <c r="N152" i="17"/>
  <c r="AO152" i="17" s="1"/>
  <c r="N153" i="17"/>
  <c r="AO153" i="17" s="1"/>
  <c r="M147" i="17"/>
  <c r="N147" i="17"/>
  <c r="AU147" i="17"/>
  <c r="AT147" i="17"/>
  <c r="AS147" i="17"/>
  <c r="AR147" i="17"/>
  <c r="AQ147" i="17"/>
  <c r="AP147" i="17"/>
  <c r="AO147" i="17"/>
  <c r="R144" i="17"/>
  <c r="M144" i="17"/>
  <c r="R143" i="17"/>
  <c r="Q142" i="17"/>
  <c r="R142" i="17"/>
  <c r="M142" i="17"/>
  <c r="AK142" i="17" s="1"/>
  <c r="AM142" i="17" s="1"/>
  <c r="AN142" i="17" s="1"/>
  <c r="N142" i="17"/>
  <c r="AO142" i="17" s="1"/>
  <c r="Q139" i="17"/>
  <c r="R138" i="17"/>
  <c r="M136" i="17"/>
  <c r="M135" i="17"/>
  <c r="N176" i="17"/>
  <c r="AO176" i="17" s="1"/>
  <c r="N175" i="17"/>
  <c r="N174" i="17"/>
  <c r="AK174" i="17" s="1"/>
  <c r="N173" i="17"/>
  <c r="AO173" i="17" s="1"/>
  <c r="N172" i="17"/>
  <c r="AO172" i="17" s="1"/>
  <c r="N171" i="17"/>
  <c r="AO171" i="17" s="1"/>
  <c r="N170" i="17"/>
  <c r="AO170" i="17" s="1"/>
  <c r="N169" i="17"/>
  <c r="N168" i="17"/>
  <c r="AK168" i="17" s="1"/>
  <c r="N165" i="17"/>
  <c r="AO165" i="17" s="1"/>
  <c r="N164" i="17"/>
  <c r="N163" i="17"/>
  <c r="AO163" i="17" s="1"/>
  <c r="N162" i="17"/>
  <c r="AK162" i="17" s="1"/>
  <c r="AM162" i="17" s="1"/>
  <c r="AN162" i="17" s="1"/>
  <c r="N157" i="17"/>
  <c r="N156" i="17"/>
  <c r="AO156" i="17" s="1"/>
  <c r="N146" i="17"/>
  <c r="N144" i="17"/>
  <c r="AO144" i="17" s="1"/>
  <c r="N143" i="17"/>
  <c r="AK143" i="17" s="1"/>
  <c r="AL143" i="17" s="1"/>
  <c r="N141" i="17"/>
  <c r="AO141" i="17" s="1"/>
  <c r="N140" i="17"/>
  <c r="AO140" i="17" s="1"/>
  <c r="N139" i="17"/>
  <c r="N138" i="17"/>
  <c r="AU178" i="17"/>
  <c r="AT178" i="17"/>
  <c r="AS178" i="17"/>
  <c r="AR178" i="17"/>
  <c r="AQ178" i="17"/>
  <c r="AP178" i="17"/>
  <c r="AO178" i="17"/>
  <c r="AU177" i="17"/>
  <c r="AT177" i="17"/>
  <c r="AS177" i="17"/>
  <c r="AR177" i="17"/>
  <c r="AQ177" i="17"/>
  <c r="AP177" i="17"/>
  <c r="AO177" i="17"/>
  <c r="AU176" i="17"/>
  <c r="AT176" i="17"/>
  <c r="AS176" i="17"/>
  <c r="AR176" i="17"/>
  <c r="AQ176" i="17"/>
  <c r="AP176" i="17"/>
  <c r="AU175" i="17"/>
  <c r="AT175" i="17"/>
  <c r="AS175" i="17"/>
  <c r="AR175" i="17"/>
  <c r="AQ175" i="17"/>
  <c r="AP175" i="17"/>
  <c r="AO175" i="17"/>
  <c r="AU174" i="17"/>
  <c r="AT174" i="17"/>
  <c r="AS174" i="17"/>
  <c r="AR174" i="17"/>
  <c r="AQ174" i="17"/>
  <c r="AP174" i="17"/>
  <c r="AU173" i="17"/>
  <c r="AT173" i="17"/>
  <c r="AS173" i="17"/>
  <c r="AR173" i="17"/>
  <c r="AQ173" i="17"/>
  <c r="AP173" i="17"/>
  <c r="AK173" i="17"/>
  <c r="AM173" i="17" s="1"/>
  <c r="AN173" i="17" s="1"/>
  <c r="AU172" i="17"/>
  <c r="AT172" i="17"/>
  <c r="AS172" i="17"/>
  <c r="AR172" i="17"/>
  <c r="AQ172" i="17"/>
  <c r="AP172" i="17"/>
  <c r="AU171" i="17"/>
  <c r="AT171" i="17"/>
  <c r="AS171" i="17"/>
  <c r="AR171" i="17"/>
  <c r="AQ171" i="17"/>
  <c r="AP171" i="17"/>
  <c r="AK171" i="17"/>
  <c r="AM171" i="17" s="1"/>
  <c r="AN171" i="17" s="1"/>
  <c r="AU170" i="17"/>
  <c r="AT170" i="17"/>
  <c r="AS170" i="17"/>
  <c r="AR170" i="17"/>
  <c r="AQ170" i="17"/>
  <c r="AP170" i="17"/>
  <c r="AU169" i="17"/>
  <c r="AT169" i="17"/>
  <c r="AS169" i="17"/>
  <c r="AR169" i="17"/>
  <c r="AQ169" i="17"/>
  <c r="AP169" i="17"/>
  <c r="AO169" i="17"/>
  <c r="AU168" i="17"/>
  <c r="AT168" i="17"/>
  <c r="AS168" i="17"/>
  <c r="AR168" i="17"/>
  <c r="AQ168" i="17"/>
  <c r="AP168" i="17"/>
  <c r="AU165" i="17"/>
  <c r="AT165" i="17"/>
  <c r="AS165" i="17"/>
  <c r="AR165" i="17"/>
  <c r="AQ165" i="17"/>
  <c r="AP165" i="17"/>
  <c r="AK165" i="17"/>
  <c r="AL165" i="17" s="1"/>
  <c r="AU164" i="17"/>
  <c r="AT164" i="17"/>
  <c r="AS164" i="17"/>
  <c r="AR164" i="17"/>
  <c r="AQ164" i="17"/>
  <c r="AP164" i="17"/>
  <c r="AU163" i="17"/>
  <c r="AT163" i="17"/>
  <c r="AS163" i="17"/>
  <c r="AR163" i="17"/>
  <c r="AQ163" i="17"/>
  <c r="AU162" i="17"/>
  <c r="AT162" i="17"/>
  <c r="AS162" i="17"/>
  <c r="AR162" i="17"/>
  <c r="AQ162" i="17"/>
  <c r="AP162" i="17"/>
  <c r="AO162" i="17"/>
  <c r="AU160" i="17"/>
  <c r="AT160" i="17"/>
  <c r="AS160" i="17"/>
  <c r="AR160" i="17"/>
  <c r="AQ160" i="17"/>
  <c r="AP160" i="17"/>
  <c r="AO160" i="17"/>
  <c r="AU159" i="17"/>
  <c r="AT159" i="17"/>
  <c r="AS159" i="17"/>
  <c r="AR159" i="17"/>
  <c r="AQ159" i="17"/>
  <c r="AO159" i="17"/>
  <c r="AU158" i="17"/>
  <c r="AT158" i="17"/>
  <c r="AS158" i="17"/>
  <c r="AR158" i="17"/>
  <c r="AQ158" i="17"/>
  <c r="AP158" i="17"/>
  <c r="AO158" i="17"/>
  <c r="AU157" i="17"/>
  <c r="AT157" i="17"/>
  <c r="AS157" i="17"/>
  <c r="AR157" i="17"/>
  <c r="AQ157" i="17"/>
  <c r="AP157" i="17"/>
  <c r="AO157" i="17"/>
  <c r="AU156" i="17"/>
  <c r="AT156" i="17"/>
  <c r="AS156" i="17"/>
  <c r="AR156" i="17"/>
  <c r="AQ156" i="17"/>
  <c r="AP156" i="17"/>
  <c r="AU155" i="17"/>
  <c r="AT155" i="17"/>
  <c r="AS155" i="17"/>
  <c r="AR155" i="17"/>
  <c r="AQ155" i="17"/>
  <c r="AP155" i="17"/>
  <c r="AU153" i="17"/>
  <c r="AT153" i="17"/>
  <c r="AS153" i="17"/>
  <c r="AR153" i="17"/>
  <c r="AQ153" i="17"/>
  <c r="AP153" i="17"/>
  <c r="AK153" i="17"/>
  <c r="AM153" i="17" s="1"/>
  <c r="AN153" i="17" s="1"/>
  <c r="AU152" i="17"/>
  <c r="AT152" i="17"/>
  <c r="AS152" i="17"/>
  <c r="AR152" i="17"/>
  <c r="AQ152" i="17"/>
  <c r="AP152" i="17"/>
  <c r="AK152" i="17"/>
  <c r="AM152" i="17" s="1"/>
  <c r="AN152" i="17" s="1"/>
  <c r="AU151" i="17"/>
  <c r="AT151" i="17"/>
  <c r="AS151" i="17"/>
  <c r="AR151" i="17"/>
  <c r="AQ151" i="17"/>
  <c r="AP151" i="17"/>
  <c r="AK151" i="17"/>
  <c r="AM151" i="17" s="1"/>
  <c r="AN151" i="17" s="1"/>
  <c r="AU149" i="17"/>
  <c r="AT149" i="17"/>
  <c r="AS149" i="17"/>
  <c r="AR149" i="17"/>
  <c r="AQ149" i="17"/>
  <c r="AP149" i="17"/>
  <c r="AK149" i="17"/>
  <c r="AU148" i="17"/>
  <c r="AT148" i="17"/>
  <c r="AS148" i="17"/>
  <c r="AR148" i="17"/>
  <c r="AQ148" i="17"/>
  <c r="AP148" i="17"/>
  <c r="AO148" i="17"/>
  <c r="AU146" i="17"/>
  <c r="AT146" i="17"/>
  <c r="AS146" i="17"/>
  <c r="AR146" i="17"/>
  <c r="AQ146" i="17"/>
  <c r="AP146" i="17"/>
  <c r="AO146" i="17"/>
  <c r="AK146" i="17"/>
  <c r="AM146" i="17" s="1"/>
  <c r="AN146" i="17" s="1"/>
  <c r="AU144" i="17"/>
  <c r="AT144" i="17"/>
  <c r="AS144" i="17"/>
  <c r="AR144" i="17"/>
  <c r="AQ144" i="17"/>
  <c r="AU143" i="17"/>
  <c r="AT143" i="17"/>
  <c r="AS143" i="17"/>
  <c r="AR143" i="17"/>
  <c r="AQ143" i="17"/>
  <c r="AP143" i="17"/>
  <c r="AO143" i="17"/>
  <c r="AM143" i="17"/>
  <c r="AN143" i="17" s="1"/>
  <c r="AU142" i="17"/>
  <c r="AT142" i="17"/>
  <c r="AS142" i="17"/>
  <c r="AR142" i="17"/>
  <c r="AQ142" i="17"/>
  <c r="AP142" i="17"/>
  <c r="AU141" i="17"/>
  <c r="AT141" i="17"/>
  <c r="AS141" i="17"/>
  <c r="AR141" i="17"/>
  <c r="AQ141" i="17"/>
  <c r="AP141" i="17"/>
  <c r="AK141" i="17"/>
  <c r="AM141" i="17" s="1"/>
  <c r="AN141" i="17" s="1"/>
  <c r="AU140" i="17"/>
  <c r="AT140" i="17"/>
  <c r="AS140" i="17"/>
  <c r="AR140" i="17"/>
  <c r="AQ140" i="17"/>
  <c r="AP140" i="17"/>
  <c r="AK140" i="17"/>
  <c r="AM140" i="17" s="1"/>
  <c r="AN140" i="17" s="1"/>
  <c r="M131" i="17"/>
  <c r="AP131" i="17" s="1"/>
  <c r="N131" i="17"/>
  <c r="AO131" i="17" s="1"/>
  <c r="N130" i="17"/>
  <c r="AK130" i="17" s="1"/>
  <c r="M129" i="17"/>
  <c r="AP129" i="17" s="1"/>
  <c r="N128" i="17"/>
  <c r="AO128" i="17" s="1"/>
  <c r="R126" i="17"/>
  <c r="AK126" i="17" s="1"/>
  <c r="AM126" i="17" s="1"/>
  <c r="AN126" i="17" s="1"/>
  <c r="N137" i="17"/>
  <c r="AO137" i="17" s="1"/>
  <c r="N136" i="17"/>
  <c r="AO136" i="17" s="1"/>
  <c r="N135" i="17"/>
  <c r="AO135" i="17" s="1"/>
  <c r="N133" i="17"/>
  <c r="N129" i="17"/>
  <c r="N127" i="17"/>
  <c r="AO127" i="17" s="1"/>
  <c r="N126" i="17"/>
  <c r="N125" i="17"/>
  <c r="AO125" i="17" s="1"/>
  <c r="N124" i="17"/>
  <c r="N123" i="17"/>
  <c r="AO123" i="17" s="1"/>
  <c r="N122" i="17"/>
  <c r="AK122" i="17" s="1"/>
  <c r="AL122" i="17" s="1"/>
  <c r="R120" i="17"/>
  <c r="N120" i="17"/>
  <c r="N119" i="17"/>
  <c r="AK119" i="17" s="1"/>
  <c r="AM119" i="17" s="1"/>
  <c r="AN119" i="17" s="1"/>
  <c r="R117" i="17"/>
  <c r="N118" i="17"/>
  <c r="AK118" i="17" s="1"/>
  <c r="AM118" i="17" s="1"/>
  <c r="AN118" i="17" s="1"/>
  <c r="N117" i="17"/>
  <c r="R115" i="17"/>
  <c r="N116" i="17"/>
  <c r="AK116" i="17" s="1"/>
  <c r="AM116" i="17" s="1"/>
  <c r="AN116" i="17" s="1"/>
  <c r="N115" i="17"/>
  <c r="N113" i="17"/>
  <c r="R110" i="17"/>
  <c r="M109" i="17"/>
  <c r="M108" i="17"/>
  <c r="AP108" i="17" s="1"/>
  <c r="R107" i="17"/>
  <c r="R106" i="17"/>
  <c r="M106" i="17"/>
  <c r="AP106" i="17" s="1"/>
  <c r="R103" i="17"/>
  <c r="R102" i="17"/>
  <c r="R100" i="17"/>
  <c r="Q100" i="17"/>
  <c r="N100" i="17"/>
  <c r="AO100" i="17" s="1"/>
  <c r="N112" i="17"/>
  <c r="N111" i="17"/>
  <c r="AO111" i="17" s="1"/>
  <c r="N110" i="17"/>
  <c r="AO110" i="17" s="1"/>
  <c r="N109" i="17"/>
  <c r="N108" i="17"/>
  <c r="N107" i="17"/>
  <c r="AK107" i="17" s="1"/>
  <c r="AM107" i="17" s="1"/>
  <c r="AN107" i="17" s="1"/>
  <c r="N106" i="17"/>
  <c r="N105" i="17"/>
  <c r="AK105" i="17" s="1"/>
  <c r="AM105" i="17" s="1"/>
  <c r="AN105" i="17" s="1"/>
  <c r="N104" i="17"/>
  <c r="N103" i="17"/>
  <c r="AK103" i="17" s="1"/>
  <c r="AM103" i="17" s="1"/>
  <c r="AN103" i="17" s="1"/>
  <c r="N102" i="17"/>
  <c r="AK102" i="17" s="1"/>
  <c r="AM102" i="17" s="1"/>
  <c r="AN102" i="17" s="1"/>
  <c r="N101" i="17"/>
  <c r="AO101" i="17" s="1"/>
  <c r="N98" i="17"/>
  <c r="AO98" i="17" s="1"/>
  <c r="AU180" i="17"/>
  <c r="AT180" i="17"/>
  <c r="AS180" i="17"/>
  <c r="AR180" i="17"/>
  <c r="AQ180" i="17"/>
  <c r="AP180" i="17"/>
  <c r="AO180" i="17"/>
  <c r="AK180" i="17"/>
  <c r="AM180" i="17" s="1"/>
  <c r="AN180" i="17" s="1"/>
  <c r="AU179" i="17"/>
  <c r="AT179" i="17"/>
  <c r="AS179" i="17"/>
  <c r="AR179" i="17"/>
  <c r="AQ179" i="17"/>
  <c r="AP179" i="17"/>
  <c r="AO179" i="17"/>
  <c r="AK179" i="17"/>
  <c r="AM179" i="17" s="1"/>
  <c r="AN179" i="17" s="1"/>
  <c r="AU139" i="17"/>
  <c r="AT139" i="17"/>
  <c r="AS139" i="17"/>
  <c r="AR139" i="17"/>
  <c r="AQ139" i="17"/>
  <c r="AP139" i="17"/>
  <c r="AO139" i="17"/>
  <c r="AK139" i="17"/>
  <c r="AL139" i="17" s="1"/>
  <c r="AU138" i="17"/>
  <c r="AT138" i="17"/>
  <c r="AS138" i="17"/>
  <c r="AR138" i="17"/>
  <c r="AQ138" i="17"/>
  <c r="AP138" i="17"/>
  <c r="AO138" i="17"/>
  <c r="AK138" i="17"/>
  <c r="AU137" i="17"/>
  <c r="AT137" i="17"/>
  <c r="AS137" i="17"/>
  <c r="AR137" i="17"/>
  <c r="AQ137" i="17"/>
  <c r="AP137" i="17"/>
  <c r="AK137" i="17"/>
  <c r="AM137" i="17" s="1"/>
  <c r="AN137" i="17" s="1"/>
  <c r="AU136" i="17"/>
  <c r="AT136" i="17"/>
  <c r="AS136" i="17"/>
  <c r="AR136" i="17"/>
  <c r="AQ136" i="17"/>
  <c r="AP136" i="17"/>
  <c r="AU135" i="17"/>
  <c r="AT135" i="17"/>
  <c r="AS135" i="17"/>
  <c r="AR135" i="17"/>
  <c r="AQ135" i="17"/>
  <c r="AP135" i="17"/>
  <c r="AU133" i="17"/>
  <c r="AT133" i="17"/>
  <c r="AS133" i="17"/>
  <c r="AR133" i="17"/>
  <c r="AQ133" i="17"/>
  <c r="AO133" i="17"/>
  <c r="AU132" i="17"/>
  <c r="AT132" i="17"/>
  <c r="AS132" i="17"/>
  <c r="AR132" i="17"/>
  <c r="AQ132" i="17"/>
  <c r="AP132" i="17"/>
  <c r="AO132" i="17"/>
  <c r="AK132" i="17"/>
  <c r="AM132" i="17" s="1"/>
  <c r="AN132" i="17" s="1"/>
  <c r="AU131" i="17"/>
  <c r="AT131" i="17"/>
  <c r="AS131" i="17"/>
  <c r="AR131" i="17"/>
  <c r="AQ131" i="17"/>
  <c r="AK131" i="17"/>
  <c r="AM131" i="17" s="1"/>
  <c r="AN131" i="17" s="1"/>
  <c r="AU130" i="17"/>
  <c r="AT130" i="17"/>
  <c r="AS130" i="17"/>
  <c r="AR130" i="17"/>
  <c r="AQ130" i="17"/>
  <c r="AP130" i="17"/>
  <c r="AU129" i="17"/>
  <c r="AT129" i="17"/>
  <c r="AS129" i="17"/>
  <c r="AR129" i="17"/>
  <c r="AQ129" i="17"/>
  <c r="AU128" i="17"/>
  <c r="AT128" i="17"/>
  <c r="AS128" i="17"/>
  <c r="AR128" i="17"/>
  <c r="AQ128" i="17"/>
  <c r="AP128" i="17"/>
  <c r="AK128" i="17"/>
  <c r="AM128" i="17" s="1"/>
  <c r="AN128" i="17" s="1"/>
  <c r="AU127" i="17"/>
  <c r="AT127" i="17"/>
  <c r="AS127" i="17"/>
  <c r="AR127" i="17"/>
  <c r="AQ127" i="17"/>
  <c r="AP127" i="17"/>
  <c r="AU126" i="17"/>
  <c r="AT126" i="17"/>
  <c r="AS126" i="17"/>
  <c r="AR126" i="17"/>
  <c r="AQ126" i="17"/>
  <c r="AP126" i="17"/>
  <c r="AO126" i="17"/>
  <c r="AU125" i="17"/>
  <c r="AT125" i="17"/>
  <c r="AS125" i="17"/>
  <c r="AR125" i="17"/>
  <c r="AQ125" i="17"/>
  <c r="AP125" i="17"/>
  <c r="AU124" i="17"/>
  <c r="AT124" i="17"/>
  <c r="AS124" i="17"/>
  <c r="AR124" i="17"/>
  <c r="AQ124" i="17"/>
  <c r="AP124" i="17"/>
  <c r="AO124" i="17"/>
  <c r="AK124" i="17"/>
  <c r="AM124" i="17" s="1"/>
  <c r="AN124" i="17" s="1"/>
  <c r="AU123" i="17"/>
  <c r="AT123" i="17"/>
  <c r="AS123" i="17"/>
  <c r="AR123" i="17"/>
  <c r="AQ123" i="17"/>
  <c r="AP123" i="17"/>
  <c r="AK123" i="17"/>
  <c r="AU122" i="17"/>
  <c r="AT122" i="17"/>
  <c r="AS122" i="17"/>
  <c r="AR122" i="17"/>
  <c r="AQ122" i="17"/>
  <c r="AP122" i="17"/>
  <c r="AO122" i="17"/>
  <c r="AU120" i="17"/>
  <c r="AT120" i="17"/>
  <c r="AS120" i="17"/>
  <c r="AR120" i="17"/>
  <c r="AQ120" i="17"/>
  <c r="AP120" i="17"/>
  <c r="AU119" i="17"/>
  <c r="AT119" i="17"/>
  <c r="AS119" i="17"/>
  <c r="AR119" i="17"/>
  <c r="AQ119" i="17"/>
  <c r="AP119" i="17"/>
  <c r="AO119" i="17"/>
  <c r="AU118" i="17"/>
  <c r="AT118" i="17"/>
  <c r="AS118" i="17"/>
  <c r="AR118" i="17"/>
  <c r="AQ118" i="17"/>
  <c r="AP118" i="17"/>
  <c r="AO118" i="17"/>
  <c r="AU117" i="17"/>
  <c r="AT117" i="17"/>
  <c r="AS117" i="17"/>
  <c r="AR117" i="17"/>
  <c r="AQ117" i="17"/>
  <c r="AP117" i="17"/>
  <c r="AO117" i="17"/>
  <c r="AK117" i="17"/>
  <c r="AM117" i="17" s="1"/>
  <c r="AN117" i="17" s="1"/>
  <c r="AU116" i="17"/>
  <c r="AT116" i="17"/>
  <c r="AS116" i="17"/>
  <c r="AR116" i="17"/>
  <c r="AQ116" i="17"/>
  <c r="AP116" i="17"/>
  <c r="AO116" i="17"/>
  <c r="AU115" i="17"/>
  <c r="AT115" i="17"/>
  <c r="AS115" i="17"/>
  <c r="AR115" i="17"/>
  <c r="AQ115" i="17"/>
  <c r="AP115" i="17"/>
  <c r="AO115" i="17"/>
  <c r="AU113" i="17"/>
  <c r="AT113" i="17"/>
  <c r="AS113" i="17"/>
  <c r="AR113" i="17"/>
  <c r="AQ113" i="17"/>
  <c r="AO113" i="17"/>
  <c r="AU112" i="17"/>
  <c r="AT112" i="17"/>
  <c r="AS112" i="17"/>
  <c r="AR112" i="17"/>
  <c r="AQ112" i="17"/>
  <c r="AP112" i="17"/>
  <c r="AO112" i="17"/>
  <c r="AK112" i="17"/>
  <c r="AL112" i="17" s="1"/>
  <c r="AU111" i="17"/>
  <c r="AT111" i="17"/>
  <c r="AS111" i="17"/>
  <c r="AR111" i="17"/>
  <c r="AQ111" i="17"/>
  <c r="AP111" i="17"/>
  <c r="AU110" i="17"/>
  <c r="AT110" i="17"/>
  <c r="AS110" i="17"/>
  <c r="AR110" i="17"/>
  <c r="AQ110" i="17"/>
  <c r="AP110" i="17"/>
  <c r="AU109" i="17"/>
  <c r="AT109" i="17"/>
  <c r="AS109" i="17"/>
  <c r="AR109" i="17"/>
  <c r="AQ109" i="17"/>
  <c r="AP109" i="17"/>
  <c r="AO109" i="17"/>
  <c r="AK109" i="17"/>
  <c r="AM109" i="17" s="1"/>
  <c r="AN109" i="17" s="1"/>
  <c r="AU108" i="17"/>
  <c r="AT108" i="17"/>
  <c r="AS108" i="17"/>
  <c r="AR108" i="17"/>
  <c r="AQ108" i="17"/>
  <c r="AO108" i="17"/>
  <c r="AK108" i="17"/>
  <c r="AM108" i="17" s="1"/>
  <c r="AN108" i="17" s="1"/>
  <c r="AU107" i="17"/>
  <c r="AT107" i="17"/>
  <c r="AS107" i="17"/>
  <c r="AR107" i="17"/>
  <c r="AQ107" i="17"/>
  <c r="AP107" i="17"/>
  <c r="AO107" i="17"/>
  <c r="AU106" i="17"/>
  <c r="AT106" i="17"/>
  <c r="AS106" i="17"/>
  <c r="AR106" i="17"/>
  <c r="AQ106" i="17"/>
  <c r="AO106" i="17"/>
  <c r="AK106" i="17"/>
  <c r="AM106" i="17" s="1"/>
  <c r="AN106" i="17" s="1"/>
  <c r="R96" i="17"/>
  <c r="Q96" i="17"/>
  <c r="N96" i="17"/>
  <c r="AO96" i="17" s="1"/>
  <c r="N94" i="17"/>
  <c r="M92" i="17"/>
  <c r="AP92" i="17" s="1"/>
  <c r="M91" i="17"/>
  <c r="N93" i="17"/>
  <c r="AO93" i="17" s="1"/>
  <c r="N92" i="17"/>
  <c r="AO92" i="17" s="1"/>
  <c r="N91" i="17"/>
  <c r="AK91" i="17" s="1"/>
  <c r="AM91" i="17" s="1"/>
  <c r="AN91" i="17" s="1"/>
  <c r="M89" i="17"/>
  <c r="M90" i="17"/>
  <c r="N90" i="17"/>
  <c r="N89" i="17"/>
  <c r="AO89" i="17" s="1"/>
  <c r="M88" i="17"/>
  <c r="N88" i="17"/>
  <c r="AO88" i="17" s="1"/>
  <c r="N87" i="17"/>
  <c r="AO87" i="17" s="1"/>
  <c r="N86" i="17"/>
  <c r="AO86" i="17" s="1"/>
  <c r="N85" i="17"/>
  <c r="AO85" i="17" s="1"/>
  <c r="R84" i="17"/>
  <c r="AK84" i="17" s="1"/>
  <c r="AM84" i="17" s="1"/>
  <c r="AN84" i="17" s="1"/>
  <c r="N84" i="17"/>
  <c r="R83" i="17"/>
  <c r="M83" i="17"/>
  <c r="N83" i="17"/>
  <c r="AO83" i="17" s="1"/>
  <c r="R82" i="17"/>
  <c r="AK82" i="17" s="1"/>
  <c r="M82" i="17"/>
  <c r="N82" i="17"/>
  <c r="AO82" i="17" s="1"/>
  <c r="M81" i="17"/>
  <c r="AP81" i="17" s="1"/>
  <c r="N81" i="17"/>
  <c r="AU205" i="17"/>
  <c r="AT205" i="17"/>
  <c r="AS205" i="17"/>
  <c r="M205" i="17"/>
  <c r="AP205" i="17" s="1"/>
  <c r="N205" i="17"/>
  <c r="AO205" i="17" s="1"/>
  <c r="AA205" i="17"/>
  <c r="AQ205" i="17"/>
  <c r="AU204" i="17"/>
  <c r="AT204" i="17"/>
  <c r="AS204" i="17"/>
  <c r="AR204" i="17"/>
  <c r="AQ204" i="17"/>
  <c r="AP204" i="17"/>
  <c r="AO204" i="17"/>
  <c r="AK204" i="17"/>
  <c r="AL204" i="17" s="1"/>
  <c r="AU203" i="17"/>
  <c r="AT203" i="17"/>
  <c r="AS203" i="17"/>
  <c r="AR203" i="17"/>
  <c r="AQ203" i="17"/>
  <c r="AP203" i="17"/>
  <c r="AO203" i="17"/>
  <c r="AK203" i="17"/>
  <c r="AU105" i="17"/>
  <c r="AT105" i="17"/>
  <c r="AS105" i="17"/>
  <c r="AR105" i="17"/>
  <c r="AQ105" i="17"/>
  <c r="AP105" i="17"/>
  <c r="AO105" i="17"/>
  <c r="AU104" i="17"/>
  <c r="AT104" i="17"/>
  <c r="AS104" i="17"/>
  <c r="AR104" i="17"/>
  <c r="AQ104" i="17"/>
  <c r="AP104" i="17"/>
  <c r="AO104" i="17"/>
  <c r="AK104" i="17"/>
  <c r="AM104" i="17" s="1"/>
  <c r="AN104" i="17" s="1"/>
  <c r="AU103" i="17"/>
  <c r="AT103" i="17"/>
  <c r="AS103" i="17"/>
  <c r="AR103" i="17"/>
  <c r="AQ103" i="17"/>
  <c r="AP103" i="17"/>
  <c r="AU102" i="17"/>
  <c r="AT102" i="17"/>
  <c r="AS102" i="17"/>
  <c r="AR102" i="17"/>
  <c r="AQ102" i="17"/>
  <c r="AP102" i="17"/>
  <c r="AO102" i="17"/>
  <c r="AU101" i="17"/>
  <c r="AT101" i="17"/>
  <c r="AS101" i="17"/>
  <c r="AR101" i="17"/>
  <c r="AQ101" i="17"/>
  <c r="AP101" i="17"/>
  <c r="AK101" i="17"/>
  <c r="AM101" i="17" s="1"/>
  <c r="AN101" i="17" s="1"/>
  <c r="AU100" i="17"/>
  <c r="AT100" i="17"/>
  <c r="AS100" i="17"/>
  <c r="AR100" i="17"/>
  <c r="AQ100" i="17"/>
  <c r="AP100" i="17"/>
  <c r="AK100" i="17"/>
  <c r="AU98" i="17"/>
  <c r="AT98" i="17"/>
  <c r="AS98" i="17"/>
  <c r="AR98" i="17"/>
  <c r="AQ98" i="17"/>
  <c r="AP98" i="17"/>
  <c r="AK98" i="17"/>
  <c r="AL98" i="17" s="1"/>
  <c r="AU96" i="17"/>
  <c r="AT96" i="17"/>
  <c r="AS96" i="17"/>
  <c r="AR96" i="17"/>
  <c r="AQ96" i="17"/>
  <c r="AP96" i="17"/>
  <c r="AU95" i="17"/>
  <c r="AT95" i="17"/>
  <c r="AS95" i="17"/>
  <c r="AR95" i="17"/>
  <c r="AQ95" i="17"/>
  <c r="AP95" i="17"/>
  <c r="AO95" i="17"/>
  <c r="AK95" i="17"/>
  <c r="AM95" i="17" s="1"/>
  <c r="AN95" i="17" s="1"/>
  <c r="AU94" i="17"/>
  <c r="AT94" i="17"/>
  <c r="AS94" i="17"/>
  <c r="AR94" i="17"/>
  <c r="AQ94" i="17"/>
  <c r="AP94" i="17"/>
  <c r="AO94" i="17"/>
  <c r="AK94" i="17"/>
  <c r="AM94" i="17" s="1"/>
  <c r="AN94" i="17" s="1"/>
  <c r="AU93" i="17"/>
  <c r="AT93" i="17"/>
  <c r="AS93" i="17"/>
  <c r="AR93" i="17"/>
  <c r="AQ93" i="17"/>
  <c r="AP93" i="17"/>
  <c r="AU92" i="17"/>
  <c r="AT92" i="17"/>
  <c r="AS92" i="17"/>
  <c r="AR92" i="17"/>
  <c r="AQ92" i="17"/>
  <c r="AK92" i="17"/>
  <c r="AU91" i="17"/>
  <c r="AT91" i="17"/>
  <c r="AS91" i="17"/>
  <c r="AR91" i="17"/>
  <c r="AQ91" i="17"/>
  <c r="AP91" i="17"/>
  <c r="AO91" i="17"/>
  <c r="AU90" i="17"/>
  <c r="AT90" i="17"/>
  <c r="AS90" i="17"/>
  <c r="AR90" i="17"/>
  <c r="AQ90" i="17"/>
  <c r="AO90" i="17"/>
  <c r="AU89" i="17"/>
  <c r="AT89" i="17"/>
  <c r="AS89" i="17"/>
  <c r="AR89" i="17"/>
  <c r="AQ89" i="17"/>
  <c r="AP89" i="17"/>
  <c r="AK89" i="17"/>
  <c r="AL89" i="17" s="1"/>
  <c r="AU88" i="17"/>
  <c r="AT88" i="17"/>
  <c r="AS88" i="17"/>
  <c r="AR88" i="17"/>
  <c r="AQ88" i="17"/>
  <c r="AP88" i="17"/>
  <c r="AK88" i="17"/>
  <c r="AM88" i="17" s="1"/>
  <c r="AN88" i="17" s="1"/>
  <c r="AU87" i="17"/>
  <c r="AT87" i="17"/>
  <c r="AS87" i="17"/>
  <c r="AR87" i="17"/>
  <c r="AQ87" i="17"/>
  <c r="AP87" i="17"/>
  <c r="AU86" i="17"/>
  <c r="AT86" i="17"/>
  <c r="AS86" i="17"/>
  <c r="AR86" i="17"/>
  <c r="AQ86" i="17"/>
  <c r="AP86" i="17"/>
  <c r="AK86" i="17"/>
  <c r="AU85" i="17"/>
  <c r="AT85" i="17"/>
  <c r="AS85" i="17"/>
  <c r="AR85" i="17"/>
  <c r="AQ85" i="17"/>
  <c r="AP85" i="17"/>
  <c r="AK85" i="17"/>
  <c r="AM85" i="17" s="1"/>
  <c r="AN85" i="17" s="1"/>
  <c r="AU84" i="17"/>
  <c r="AT84" i="17"/>
  <c r="AS84" i="17"/>
  <c r="AR84" i="17"/>
  <c r="AQ84" i="17"/>
  <c r="AP84" i="17"/>
  <c r="AO84" i="17"/>
  <c r="AU83" i="17"/>
  <c r="AT83" i="17"/>
  <c r="AS83" i="17"/>
  <c r="AR83" i="17"/>
  <c r="AQ83" i="17"/>
  <c r="AP83" i="17"/>
  <c r="AK83" i="17"/>
  <c r="AU82" i="17"/>
  <c r="AT82" i="17"/>
  <c r="AS82" i="17"/>
  <c r="AR82" i="17"/>
  <c r="AQ82" i="17"/>
  <c r="AP82" i="17"/>
  <c r="AU81" i="17"/>
  <c r="AT81" i="17"/>
  <c r="AS81" i="17"/>
  <c r="AR81" i="17"/>
  <c r="AQ81" i="17"/>
  <c r="AO81" i="17"/>
  <c r="AA38" i="17"/>
  <c r="AA39" i="17"/>
  <c r="R38" i="17"/>
  <c r="R61" i="17"/>
  <c r="M38" i="17"/>
  <c r="R39" i="17"/>
  <c r="AG530" i="17"/>
  <c r="AF530" i="17"/>
  <c r="AG529" i="17"/>
  <c r="AG528" i="17"/>
  <c r="AG527" i="17"/>
  <c r="AG526" i="17"/>
  <c r="AG525" i="17"/>
  <c r="AG524" i="17"/>
  <c r="AG523" i="17"/>
  <c r="AG521" i="17"/>
  <c r="AF521" i="17"/>
  <c r="AG520" i="17"/>
  <c r="AF520" i="17"/>
  <c r="AG517" i="17"/>
  <c r="AG512" i="17"/>
  <c r="AG511" i="17"/>
  <c r="AG510" i="17"/>
  <c r="AG509" i="17"/>
  <c r="AG508" i="17"/>
  <c r="AF508" i="17"/>
  <c r="AG280" i="17"/>
  <c r="AG279" i="17"/>
  <c r="AG266" i="17"/>
  <c r="AG506" i="17"/>
  <c r="AI279" i="17"/>
  <c r="AI280" i="17"/>
  <c r="AF280" i="17"/>
  <c r="AF279" i="17"/>
  <c r="AF266" i="17"/>
  <c r="AF506" i="17"/>
  <c r="AG269" i="17"/>
  <c r="AG503" i="17"/>
  <c r="AG502" i="17"/>
  <c r="AG287" i="17"/>
  <c r="AG286" i="17"/>
  <c r="AG285" i="17"/>
  <c r="AG284" i="17"/>
  <c r="AG283" i="17"/>
  <c r="AG282" i="17"/>
  <c r="AG275" i="17"/>
  <c r="AG274" i="17"/>
  <c r="AG273" i="17"/>
  <c r="AG272" i="17"/>
  <c r="AG271" i="17"/>
  <c r="AF269" i="17"/>
  <c r="AG264" i="17"/>
  <c r="AG263" i="17"/>
  <c r="AE530" i="17"/>
  <c r="AE529" i="17"/>
  <c r="AE528" i="17"/>
  <c r="AJ528" i="17" s="1"/>
  <c r="AT528" i="17" s="1"/>
  <c r="AE527" i="17"/>
  <c r="AE526" i="17"/>
  <c r="AJ526" i="17" s="1"/>
  <c r="AT526" i="17" s="1"/>
  <c r="AE525" i="17"/>
  <c r="AJ525" i="17" s="1"/>
  <c r="AT525" i="17" s="1"/>
  <c r="AE524" i="17"/>
  <c r="AJ524" i="17" s="1"/>
  <c r="AT524" i="17" s="1"/>
  <c r="AE523" i="17"/>
  <c r="AE522" i="17"/>
  <c r="AJ522" i="17" s="1"/>
  <c r="AT522" i="17" s="1"/>
  <c r="AE521" i="17"/>
  <c r="M520" i="17"/>
  <c r="AE520" i="17"/>
  <c r="AJ520" i="17" s="1"/>
  <c r="AT520" i="17" s="1"/>
  <c r="AE519" i="17"/>
  <c r="AJ519" i="17" s="1"/>
  <c r="AT519" i="17" s="1"/>
  <c r="AE518" i="17"/>
  <c r="AE517" i="17"/>
  <c r="AJ517" i="17" s="1"/>
  <c r="AT517" i="17" s="1"/>
  <c r="M516" i="17"/>
  <c r="AE516" i="17" s="1"/>
  <c r="AJ516" i="17" s="1"/>
  <c r="AT516" i="17" s="1"/>
  <c r="AE515" i="17"/>
  <c r="AJ515" i="17" s="1"/>
  <c r="AT515" i="17" s="1"/>
  <c r="AE514" i="17"/>
  <c r="AE513" i="17"/>
  <c r="AJ513" i="17" s="1"/>
  <c r="AT513" i="17" s="1"/>
  <c r="AE512" i="17"/>
  <c r="AE511" i="17"/>
  <c r="AJ511" i="17" s="1"/>
  <c r="AT511" i="17" s="1"/>
  <c r="AE510" i="17"/>
  <c r="AE509" i="17"/>
  <c r="AE508" i="17"/>
  <c r="AE507" i="17"/>
  <c r="M506" i="17"/>
  <c r="AE506" i="17"/>
  <c r="AJ506" i="17" s="1"/>
  <c r="AT506" i="17" s="1"/>
  <c r="AE505" i="17"/>
  <c r="AJ505" i="17" s="1"/>
  <c r="AT505" i="17" s="1"/>
  <c r="AE504" i="17"/>
  <c r="AE503" i="17"/>
  <c r="AJ503" i="17" s="1"/>
  <c r="AT503" i="17" s="1"/>
  <c r="AE502" i="17"/>
  <c r="M500" i="17"/>
  <c r="AE500" i="17" s="1"/>
  <c r="M499" i="17"/>
  <c r="AE499" i="17" s="1"/>
  <c r="AJ499" i="17" s="1"/>
  <c r="AT499" i="17" s="1"/>
  <c r="M498" i="17"/>
  <c r="AE498" i="17" s="1"/>
  <c r="AJ498" i="17" s="1"/>
  <c r="AT498" i="17" s="1"/>
  <c r="M497" i="17"/>
  <c r="AE497" i="17" s="1"/>
  <c r="AJ497" i="17" s="1"/>
  <c r="AT497" i="17" s="1"/>
  <c r="M496" i="17"/>
  <c r="AE496" i="17" s="1"/>
  <c r="AJ496" i="17" s="1"/>
  <c r="AT496" i="17" s="1"/>
  <c r="AE494" i="17"/>
  <c r="AJ494" i="17" s="1"/>
  <c r="AT494" i="17" s="1"/>
  <c r="AE493" i="17"/>
  <c r="AJ493" i="17" s="1"/>
  <c r="AT493" i="17" s="1"/>
  <c r="M492" i="17"/>
  <c r="AE492" i="17" s="1"/>
  <c r="M490" i="17"/>
  <c r="AE490" i="17" s="1"/>
  <c r="AJ490" i="17" s="1"/>
  <c r="AT490" i="17" s="1"/>
  <c r="M488" i="17"/>
  <c r="AE488" i="17" s="1"/>
  <c r="AJ488" i="17" s="1"/>
  <c r="M486" i="17"/>
  <c r="AE486" i="17" s="1"/>
  <c r="AJ486" i="17" s="1"/>
  <c r="AT486" i="17" s="1"/>
  <c r="M484" i="17"/>
  <c r="AE484" i="17" s="1"/>
  <c r="AJ484" i="17" s="1"/>
  <c r="AT484" i="17" s="1"/>
  <c r="M483" i="17"/>
  <c r="M480" i="17"/>
  <c r="AE480" i="17" s="1"/>
  <c r="M478" i="17"/>
  <c r="AE478" i="17"/>
  <c r="AJ478" i="17" s="1"/>
  <c r="AT478" i="17" s="1"/>
  <c r="AE287" i="17"/>
  <c r="AE286" i="17"/>
  <c r="AE285" i="17"/>
  <c r="AJ285" i="17" s="1"/>
  <c r="AE284" i="17"/>
  <c r="AE283" i="17"/>
  <c r="AJ283" i="17" s="1"/>
  <c r="AT283" i="17" s="1"/>
  <c r="AE282" i="17"/>
  <c r="AE281" i="17"/>
  <c r="AJ281" i="17" s="1"/>
  <c r="AT281" i="17" s="1"/>
  <c r="M280" i="17"/>
  <c r="AE280" i="17" s="1"/>
  <c r="AS280" i="17" s="1"/>
  <c r="AE279" i="17"/>
  <c r="AE278" i="17"/>
  <c r="AJ278" i="17" s="1"/>
  <c r="AT278" i="17" s="1"/>
  <c r="AE277" i="17"/>
  <c r="AJ277" i="17" s="1"/>
  <c r="AT277" i="17" s="1"/>
  <c r="AE276" i="17"/>
  <c r="AJ276" i="17" s="1"/>
  <c r="AT276" i="17" s="1"/>
  <c r="AE275" i="17"/>
  <c r="AJ275" i="17" s="1"/>
  <c r="AT275" i="17" s="1"/>
  <c r="AE274" i="17"/>
  <c r="AE273" i="17"/>
  <c r="AJ273" i="17" s="1"/>
  <c r="AT273" i="17" s="1"/>
  <c r="AE272" i="17"/>
  <c r="AS272" i="17" s="1"/>
  <c r="AE271" i="17"/>
  <c r="AJ271" i="17" s="1"/>
  <c r="AT271" i="17" s="1"/>
  <c r="AE270" i="17"/>
  <c r="AE269" i="17"/>
  <c r="AE268" i="17"/>
  <c r="AJ268" i="17" s="1"/>
  <c r="AT268" i="17" s="1"/>
  <c r="AE267" i="17"/>
  <c r="AJ267" i="17" s="1"/>
  <c r="AT267" i="17" s="1"/>
  <c r="M266" i="17"/>
  <c r="AE266" i="17" s="1"/>
  <c r="AE265" i="17"/>
  <c r="AJ265" i="17" s="1"/>
  <c r="AT265" i="17" s="1"/>
  <c r="AE264" i="17"/>
  <c r="AJ264" i="17" s="1"/>
  <c r="AT264" i="17" s="1"/>
  <c r="AE263" i="17"/>
  <c r="M262" i="17"/>
  <c r="AE262" i="17" s="1"/>
  <c r="AJ262" i="17" s="1"/>
  <c r="AT262" i="17" s="1"/>
  <c r="AE261" i="17"/>
  <c r="AJ261" i="17" s="1"/>
  <c r="AT261" i="17" s="1"/>
  <c r="M260" i="17"/>
  <c r="AE260" i="17"/>
  <c r="AJ260" i="17" s="1"/>
  <c r="AT260" i="17" s="1"/>
  <c r="AE259" i="17"/>
  <c r="AJ259" i="17" s="1"/>
  <c r="AT259" i="17" s="1"/>
  <c r="M258" i="17"/>
  <c r="AE258" i="17" s="1"/>
  <c r="AE257" i="17"/>
  <c r="AJ257" i="17" s="1"/>
  <c r="AT257" i="17" s="1"/>
  <c r="M256" i="17"/>
  <c r="AE256" i="17" s="1"/>
  <c r="AJ256" i="17" s="1"/>
  <c r="AT256" i="17" s="1"/>
  <c r="M255" i="17"/>
  <c r="AE255" i="17" s="1"/>
  <c r="AJ255" i="17" s="1"/>
  <c r="AT255" i="17" s="1"/>
  <c r="AE254" i="17"/>
  <c r="AJ254" i="17" s="1"/>
  <c r="AT254" i="17" s="1"/>
  <c r="AE253" i="17"/>
  <c r="AJ252" i="17"/>
  <c r="AT252" i="17" s="1"/>
  <c r="M251" i="17"/>
  <c r="AE251" i="17"/>
  <c r="AJ251" i="17" s="1"/>
  <c r="AT251" i="17" s="1"/>
  <c r="AJ250" i="17"/>
  <c r="AT250" i="17" s="1"/>
  <c r="M249" i="17"/>
  <c r="AE249" i="17" s="1"/>
  <c r="AJ249" i="17" s="1"/>
  <c r="AT249" i="17" s="1"/>
  <c r="AJ248" i="17"/>
  <c r="M247" i="17"/>
  <c r="AE247" i="17" s="1"/>
  <c r="AJ246" i="17"/>
  <c r="AT246" i="17" s="1"/>
  <c r="M245" i="17"/>
  <c r="AE245" i="17" s="1"/>
  <c r="AJ245" i="17" s="1"/>
  <c r="AT245" i="17" s="1"/>
  <c r="M244" i="17"/>
  <c r="AE244" i="17" s="1"/>
  <c r="AE243" i="17"/>
  <c r="AJ243" i="17" s="1"/>
  <c r="AT243" i="17" s="1"/>
  <c r="M242" i="17"/>
  <c r="AE242" i="17" s="1"/>
  <c r="M241" i="17"/>
  <c r="AE241" i="17" s="1"/>
  <c r="M240" i="17"/>
  <c r="AE240" i="17" s="1"/>
  <c r="M239" i="17"/>
  <c r="AE239" i="17"/>
  <c r="M238" i="17"/>
  <c r="AE238" i="17" s="1"/>
  <c r="AF238" i="17"/>
  <c r="AI530" i="17"/>
  <c r="AI529" i="17"/>
  <c r="AI528" i="17"/>
  <c r="AI527" i="17"/>
  <c r="AI526" i="17"/>
  <c r="AI525" i="17"/>
  <c r="AI524" i="17"/>
  <c r="AS524" i="17" s="1"/>
  <c r="AI523" i="17"/>
  <c r="AI522" i="17"/>
  <c r="AI521" i="17"/>
  <c r="AI520" i="17"/>
  <c r="AI519" i="17"/>
  <c r="AI518" i="17"/>
  <c r="AI517" i="17"/>
  <c r="AI516" i="17"/>
  <c r="AI515" i="17"/>
  <c r="AI514" i="17"/>
  <c r="AI513" i="17"/>
  <c r="AI512" i="17"/>
  <c r="AI511" i="17"/>
  <c r="AI510" i="17"/>
  <c r="AI509" i="17"/>
  <c r="AI508" i="17"/>
  <c r="AI507" i="17"/>
  <c r="AI506" i="17"/>
  <c r="AI505" i="17"/>
  <c r="AI504" i="17"/>
  <c r="AI503" i="17"/>
  <c r="AI502" i="17"/>
  <c r="AI500" i="17"/>
  <c r="AI499" i="17"/>
  <c r="AI498" i="17"/>
  <c r="AS498" i="17" s="1"/>
  <c r="AI497" i="17"/>
  <c r="AI496" i="17"/>
  <c r="AI494" i="17"/>
  <c r="AI493" i="17"/>
  <c r="AI492" i="17"/>
  <c r="AI490" i="17"/>
  <c r="AI488" i="17"/>
  <c r="AI486" i="17"/>
  <c r="AI484" i="17"/>
  <c r="AI483" i="17"/>
  <c r="AI482" i="17"/>
  <c r="AI480" i="17"/>
  <c r="AI478" i="17"/>
  <c r="AI238" i="17"/>
  <c r="AT716" i="17"/>
  <c r="AS716" i="17"/>
  <c r="AT711" i="17"/>
  <c r="AS711" i="17"/>
  <c r="AT710" i="17"/>
  <c r="AS710" i="17"/>
  <c r="AT709" i="17"/>
  <c r="AS709" i="17"/>
  <c r="AT708" i="17"/>
  <c r="AS708" i="17"/>
  <c r="AT707" i="17"/>
  <c r="AS707" i="17"/>
  <c r="AT706" i="17"/>
  <c r="AS706" i="17"/>
  <c r="AT705" i="17"/>
  <c r="AS705" i="17"/>
  <c r="AT704" i="17"/>
  <c r="AS704" i="17"/>
  <c r="AT703" i="17"/>
  <c r="AS703" i="17"/>
  <c r="AT702" i="17"/>
  <c r="AS702" i="17"/>
  <c r="AT701" i="17"/>
  <c r="AS701" i="17"/>
  <c r="AT700" i="17"/>
  <c r="AS700" i="17"/>
  <c r="AT699" i="17"/>
  <c r="AS699" i="17"/>
  <c r="AT501" i="17"/>
  <c r="AS501" i="17"/>
  <c r="AT495" i="17"/>
  <c r="AS495" i="17"/>
  <c r="AT491" i="17"/>
  <c r="AS491" i="17"/>
  <c r="AT489" i="17"/>
  <c r="AS489" i="17"/>
  <c r="AT488" i="17"/>
  <c r="AT487" i="17"/>
  <c r="AS487" i="17"/>
  <c r="AT485" i="17"/>
  <c r="AS485" i="17"/>
  <c r="AT481" i="17"/>
  <c r="AS481" i="17"/>
  <c r="AT479" i="17"/>
  <c r="AS479" i="17"/>
  <c r="AT477" i="17"/>
  <c r="AS477" i="17"/>
  <c r="AT476" i="17"/>
  <c r="AS476" i="17"/>
  <c r="AT475" i="17"/>
  <c r="AS475" i="17"/>
  <c r="AT474" i="17"/>
  <c r="AS474" i="17"/>
  <c r="AT473" i="17"/>
  <c r="AS473" i="17"/>
  <c r="AT472" i="17"/>
  <c r="AS472" i="17"/>
  <c r="AT471" i="17"/>
  <c r="AS471" i="17"/>
  <c r="AT470" i="17"/>
  <c r="AS470" i="17"/>
  <c r="AT469" i="17"/>
  <c r="AS469" i="17"/>
  <c r="AT468" i="17"/>
  <c r="AS468" i="17"/>
  <c r="AT467" i="17"/>
  <c r="AS467" i="17"/>
  <c r="AT466" i="17"/>
  <c r="AS466" i="17"/>
  <c r="AT465" i="17"/>
  <c r="AS465" i="17"/>
  <c r="AT464" i="17"/>
  <c r="AS464" i="17"/>
  <c r="AT463" i="17"/>
  <c r="AS463" i="17"/>
  <c r="AT462" i="17"/>
  <c r="AS462" i="17"/>
  <c r="AT461" i="17"/>
  <c r="AS461" i="17"/>
  <c r="AT460" i="17"/>
  <c r="AS460" i="17"/>
  <c r="AT459" i="17"/>
  <c r="AS459" i="17"/>
  <c r="AT458" i="17"/>
  <c r="AS458" i="17"/>
  <c r="AT457" i="17"/>
  <c r="AS457" i="17"/>
  <c r="AT456" i="17"/>
  <c r="AS456" i="17"/>
  <c r="AI287" i="17"/>
  <c r="AI286" i="17"/>
  <c r="AT285" i="17"/>
  <c r="AI285" i="17"/>
  <c r="AI284" i="17"/>
  <c r="AI283" i="17"/>
  <c r="AI282" i="17"/>
  <c r="AI281" i="17"/>
  <c r="AI278" i="17"/>
  <c r="AI277" i="17"/>
  <c r="AI276" i="17"/>
  <c r="AI275" i="17"/>
  <c r="AI274" i="17"/>
  <c r="AI273" i="17"/>
  <c r="AI272" i="17"/>
  <c r="AI271" i="17"/>
  <c r="AI270" i="17"/>
  <c r="AI269" i="17"/>
  <c r="AI268" i="17"/>
  <c r="AI267" i="17"/>
  <c r="AI266" i="17"/>
  <c r="AI265" i="17"/>
  <c r="AI264" i="17"/>
  <c r="AI263" i="17"/>
  <c r="AS263" i="17" s="1"/>
  <c r="AI262" i="17"/>
  <c r="AI261" i="17"/>
  <c r="AS261" i="17" s="1"/>
  <c r="AI260" i="17"/>
  <c r="AI259" i="17"/>
  <c r="AI258" i="17"/>
  <c r="AI257" i="17"/>
  <c r="AI256" i="17"/>
  <c r="AI255" i="17"/>
  <c r="AS255" i="17" s="1"/>
  <c r="AI254" i="17"/>
  <c r="AI253" i="17"/>
  <c r="M252" i="17"/>
  <c r="AS252" i="17"/>
  <c r="AI251" i="17"/>
  <c r="M250" i="17"/>
  <c r="AS250" i="17"/>
  <c r="AI249" i="17"/>
  <c r="AT248" i="17"/>
  <c r="AS248" i="17"/>
  <c r="AI247" i="17"/>
  <c r="AS246" i="17"/>
  <c r="AI245" i="17"/>
  <c r="AI244" i="17"/>
  <c r="AI243" i="17"/>
  <c r="AI242" i="17"/>
  <c r="AI241" i="17"/>
  <c r="AI240" i="17"/>
  <c r="AI239" i="17"/>
  <c r="AT237" i="17"/>
  <c r="AS237" i="17"/>
  <c r="AT236" i="17"/>
  <c r="AS236" i="17"/>
  <c r="AT235" i="17"/>
  <c r="AS235" i="17"/>
  <c r="AT234" i="17"/>
  <c r="AS234" i="17"/>
  <c r="AT233" i="17"/>
  <c r="AS233" i="17"/>
  <c r="AT232" i="17"/>
  <c r="AS232" i="17"/>
  <c r="AT231" i="17"/>
  <c r="AS231" i="17"/>
  <c r="AT230" i="17"/>
  <c r="AS230" i="17"/>
  <c r="AT229" i="17"/>
  <c r="AS229" i="17"/>
  <c r="AT228" i="17"/>
  <c r="AS228" i="17"/>
  <c r="AT227" i="17"/>
  <c r="AS227" i="17"/>
  <c r="AT226" i="17"/>
  <c r="AS226" i="17"/>
  <c r="AT225" i="17"/>
  <c r="AS225" i="17"/>
  <c r="AT224" i="17"/>
  <c r="AS224" i="17"/>
  <c r="AT223" i="17"/>
  <c r="AS223" i="17"/>
  <c r="AT222" i="17"/>
  <c r="AS222" i="17"/>
  <c r="AT221" i="17"/>
  <c r="AS221" i="17"/>
  <c r="AT220" i="17"/>
  <c r="AS220" i="17"/>
  <c r="AT219" i="17"/>
  <c r="AS219" i="17"/>
  <c r="AT218" i="17"/>
  <c r="AS218" i="17"/>
  <c r="AT217" i="17"/>
  <c r="AS217" i="17"/>
  <c r="AT216" i="17"/>
  <c r="AS216" i="17"/>
  <c r="AT215" i="17"/>
  <c r="AS215" i="17"/>
  <c r="AT214" i="17"/>
  <c r="AS214" i="17"/>
  <c r="AT213" i="17"/>
  <c r="AS213" i="17"/>
  <c r="AT212" i="17"/>
  <c r="AS212" i="17"/>
  <c r="AT211" i="17"/>
  <c r="AS211" i="17"/>
  <c r="AT210" i="17"/>
  <c r="AS210" i="17"/>
  <c r="AT209" i="17"/>
  <c r="AS209" i="17"/>
  <c r="AT208" i="17"/>
  <c r="AS208" i="17"/>
  <c r="AT207" i="17"/>
  <c r="AS207" i="17"/>
  <c r="AT206" i="17"/>
  <c r="AS206" i="17"/>
  <c r="AT80" i="17"/>
  <c r="AS80" i="17"/>
  <c r="AT79" i="17"/>
  <c r="AS79" i="17"/>
  <c r="AT78" i="17"/>
  <c r="AS78" i="17"/>
  <c r="AT77" i="17"/>
  <c r="AS77" i="17"/>
  <c r="AT76" i="17"/>
  <c r="AS76" i="17"/>
  <c r="AT75" i="17"/>
  <c r="AS75" i="17"/>
  <c r="AT74" i="17"/>
  <c r="AS74" i="17"/>
  <c r="AT73" i="17"/>
  <c r="AS73" i="17"/>
  <c r="AT72" i="17"/>
  <c r="AS72" i="17"/>
  <c r="AT71" i="17"/>
  <c r="AS71" i="17"/>
  <c r="AT70" i="17"/>
  <c r="AS70" i="17"/>
  <c r="AT69" i="17"/>
  <c r="AS69" i="17"/>
  <c r="AT68" i="17"/>
  <c r="AS68" i="17"/>
  <c r="AT67" i="17"/>
  <c r="AS67" i="17"/>
  <c r="AT66" i="17"/>
  <c r="AS66" i="17"/>
  <c r="AT65" i="17"/>
  <c r="AS65" i="17"/>
  <c r="AT64" i="17"/>
  <c r="AS64" i="17"/>
  <c r="AT63" i="17"/>
  <c r="AS63" i="17"/>
  <c r="AT62" i="17"/>
  <c r="AS62" i="17"/>
  <c r="AT61" i="17"/>
  <c r="AS61" i="17"/>
  <c r="AT60" i="17"/>
  <c r="AS60" i="17"/>
  <c r="AT59" i="17"/>
  <c r="AS59" i="17"/>
  <c r="AT58" i="17"/>
  <c r="AS58" i="17"/>
  <c r="AT57" i="17"/>
  <c r="AS57" i="17"/>
  <c r="AT56" i="17"/>
  <c r="AS56" i="17"/>
  <c r="AT55" i="17"/>
  <c r="AS55" i="17"/>
  <c r="AT54" i="17"/>
  <c r="AS54" i="17"/>
  <c r="AT53" i="17"/>
  <c r="AS53" i="17"/>
  <c r="AT52" i="17"/>
  <c r="AS52" i="17"/>
  <c r="AT51" i="17"/>
  <c r="AS51" i="17"/>
  <c r="AT50" i="17"/>
  <c r="AS50" i="17"/>
  <c r="AT49" i="17"/>
  <c r="AS49" i="17"/>
  <c r="AT48" i="17"/>
  <c r="AS48" i="17"/>
  <c r="AT47" i="17"/>
  <c r="AS47" i="17"/>
  <c r="AT46" i="17"/>
  <c r="AS46" i="17"/>
  <c r="AT45" i="17"/>
  <c r="AS45" i="17"/>
  <c r="AT44" i="17"/>
  <c r="AS44" i="17"/>
  <c r="AT43" i="17"/>
  <c r="AS43" i="17"/>
  <c r="AT42" i="17"/>
  <c r="AS42" i="17"/>
  <c r="AT41" i="17"/>
  <c r="AS41" i="17"/>
  <c r="AT40" i="17"/>
  <c r="AS40" i="17"/>
  <c r="AT39" i="17"/>
  <c r="AS39" i="17"/>
  <c r="AT38" i="17"/>
  <c r="AS38" i="17"/>
  <c r="AT37" i="17"/>
  <c r="AS37" i="17"/>
  <c r="AT36" i="17"/>
  <c r="AS36" i="17"/>
  <c r="AT35" i="17"/>
  <c r="AS35" i="17"/>
  <c r="AT34" i="17"/>
  <c r="AS34" i="17"/>
  <c r="AT33" i="17"/>
  <c r="AS33" i="17"/>
  <c r="AT32" i="17"/>
  <c r="AS32" i="17"/>
  <c r="AT31" i="17"/>
  <c r="AS31" i="17"/>
  <c r="AT30" i="17"/>
  <c r="AS30" i="17"/>
  <c r="AT29" i="17"/>
  <c r="AS29" i="17"/>
  <c r="AT28" i="17"/>
  <c r="AS28" i="17"/>
  <c r="AT27" i="17"/>
  <c r="AS27" i="17"/>
  <c r="AT26" i="17"/>
  <c r="AS26" i="17"/>
  <c r="AT25" i="17"/>
  <c r="AS25" i="17"/>
  <c r="AT24" i="17"/>
  <c r="AS24" i="17"/>
  <c r="AT23" i="17"/>
  <c r="AS23" i="17"/>
  <c r="AT22" i="17"/>
  <c r="AS22" i="17"/>
  <c r="AT21" i="17"/>
  <c r="AS21" i="17"/>
  <c r="AT20" i="17"/>
  <c r="AS20" i="17"/>
  <c r="AT19" i="17"/>
  <c r="AS19" i="17"/>
  <c r="AT18" i="17"/>
  <c r="AS18" i="17"/>
  <c r="AT17" i="17"/>
  <c r="AS17" i="17"/>
  <c r="AT16" i="17"/>
  <c r="AS16" i="17"/>
  <c r="AT15" i="17"/>
  <c r="AS15" i="17"/>
  <c r="AT14" i="17"/>
  <c r="AS14" i="17"/>
  <c r="AT13" i="17"/>
  <c r="AS13" i="17"/>
  <c r="AT12" i="17"/>
  <c r="AS12" i="17"/>
  <c r="AT11" i="17"/>
  <c r="AS11" i="17"/>
  <c r="AT10" i="17"/>
  <c r="AS10" i="17"/>
  <c r="AA458" i="17"/>
  <c r="R458" i="17"/>
  <c r="M458" i="17"/>
  <c r="AC458" i="17" s="1"/>
  <c r="AA459" i="17"/>
  <c r="AQ459" i="17" s="1"/>
  <c r="R459" i="17"/>
  <c r="M459" i="17"/>
  <c r="M64" i="17"/>
  <c r="AC64" i="17" s="1"/>
  <c r="AR64" i="17" s="1"/>
  <c r="AU64" i="17"/>
  <c r="AQ64" i="17"/>
  <c r="AO64" i="17"/>
  <c r="N51" i="17"/>
  <c r="AC51" i="17" s="1"/>
  <c r="AR51" i="17" s="1"/>
  <c r="N50" i="17"/>
  <c r="AC50" i="17" s="1"/>
  <c r="AR50" i="17" s="1"/>
  <c r="M51" i="17"/>
  <c r="AP51" i="17" s="1"/>
  <c r="M50" i="17"/>
  <c r="AP50" i="17" s="1"/>
  <c r="AU51" i="17"/>
  <c r="AQ51" i="17"/>
  <c r="AU50" i="17"/>
  <c r="AQ50" i="17"/>
  <c r="N39" i="17"/>
  <c r="M220" i="17"/>
  <c r="AC220" i="17" s="1"/>
  <c r="AR220" i="17" s="1"/>
  <c r="AU220" i="17"/>
  <c r="AQ220" i="17"/>
  <c r="AP220" i="17"/>
  <c r="AO220" i="17"/>
  <c r="M48" i="17"/>
  <c r="AP48" i="17" s="1"/>
  <c r="AU48" i="17"/>
  <c r="AC48" i="17"/>
  <c r="AR48" i="17" s="1"/>
  <c r="AQ48" i="17"/>
  <c r="AO48" i="17"/>
  <c r="AU43" i="17"/>
  <c r="AC43" i="17"/>
  <c r="AR43" i="17" s="1"/>
  <c r="AQ43" i="17"/>
  <c r="AP43" i="17"/>
  <c r="AO43" i="17"/>
  <c r="AK43" i="17"/>
  <c r="AL43" i="17" s="1"/>
  <c r="AC710" i="17"/>
  <c r="AR710" i="17" s="1"/>
  <c r="AC709" i="17"/>
  <c r="AR709" i="17" s="1"/>
  <c r="AC708" i="17"/>
  <c r="AR708" i="17" s="1"/>
  <c r="AC707" i="17"/>
  <c r="AR707" i="17" s="1"/>
  <c r="AC706" i="17"/>
  <c r="AC705" i="17"/>
  <c r="AR705" i="17" s="1"/>
  <c r="AA704" i="17"/>
  <c r="AC704" i="17"/>
  <c r="AR704" i="17" s="1"/>
  <c r="AC703" i="17"/>
  <c r="AR703" i="17" s="1"/>
  <c r="AA702" i="17"/>
  <c r="AC702" i="17"/>
  <c r="AR702" i="17" s="1"/>
  <c r="AC701" i="17"/>
  <c r="AC700" i="17"/>
  <c r="AR700" i="17" s="1"/>
  <c r="AC699" i="17"/>
  <c r="AR699" i="17" s="1"/>
  <c r="AU711" i="17"/>
  <c r="AR711" i="17"/>
  <c r="AQ711" i="17"/>
  <c r="AP711" i="17"/>
  <c r="AO711" i="17"/>
  <c r="AK711" i="17"/>
  <c r="AL711" i="17" s="1"/>
  <c r="AU710" i="17"/>
  <c r="AQ710" i="17"/>
  <c r="AP710" i="17"/>
  <c r="AO710" i="17"/>
  <c r="AK710" i="17"/>
  <c r="AM710" i="17" s="1"/>
  <c r="AN710" i="17" s="1"/>
  <c r="AU709" i="17"/>
  <c r="AQ709" i="17"/>
  <c r="AP709" i="17"/>
  <c r="AO709" i="17"/>
  <c r="AK709" i="17"/>
  <c r="AM709" i="17" s="1"/>
  <c r="AN709" i="17" s="1"/>
  <c r="AU708" i="17"/>
  <c r="AQ708" i="17"/>
  <c r="AP708" i="17"/>
  <c r="AO708" i="17"/>
  <c r="AK708" i="17"/>
  <c r="AU707" i="17"/>
  <c r="AQ707" i="17"/>
  <c r="AP707" i="17"/>
  <c r="AO707" i="17"/>
  <c r="AK707" i="17"/>
  <c r="AM707" i="17" s="1"/>
  <c r="AN707" i="17" s="1"/>
  <c r="AU706" i="17"/>
  <c r="AR706" i="17"/>
  <c r="AQ706" i="17"/>
  <c r="AP706" i="17"/>
  <c r="AO706" i="17"/>
  <c r="AK706" i="17"/>
  <c r="AM706" i="17" s="1"/>
  <c r="AN706" i="17" s="1"/>
  <c r="AU705" i="17"/>
  <c r="AQ705" i="17"/>
  <c r="AP705" i="17"/>
  <c r="AO705" i="17"/>
  <c r="AK705" i="17"/>
  <c r="AM705" i="17" s="1"/>
  <c r="AN705" i="17" s="1"/>
  <c r="AU704" i="17"/>
  <c r="AQ704" i="17"/>
  <c r="AP704" i="17"/>
  <c r="AO704" i="17"/>
  <c r="AK704" i="17"/>
  <c r="AU703" i="17"/>
  <c r="AQ703" i="17"/>
  <c r="AP703" i="17"/>
  <c r="AO703" i="17"/>
  <c r="AK703" i="17"/>
  <c r="AL703" i="17" s="1"/>
  <c r="R520" i="17"/>
  <c r="N530" i="17"/>
  <c r="N529" i="17"/>
  <c r="N528" i="17"/>
  <c r="N527" i="17"/>
  <c r="AO527" i="17" s="1"/>
  <c r="N526" i="17"/>
  <c r="AO526" i="17" s="1"/>
  <c r="N525" i="17"/>
  <c r="AO525" i="17" s="1"/>
  <c r="N524" i="17"/>
  <c r="N523" i="17"/>
  <c r="AO523" i="17" s="1"/>
  <c r="N522" i="17"/>
  <c r="AO522" i="17" s="1"/>
  <c r="N521" i="17"/>
  <c r="AO521" i="17" s="1"/>
  <c r="N519" i="17"/>
  <c r="AK519" i="17" s="1"/>
  <c r="AL519" i="17" s="1"/>
  <c r="R516" i="17"/>
  <c r="N516" i="17"/>
  <c r="N515" i="17"/>
  <c r="AO515" i="17" s="1"/>
  <c r="R514" i="17"/>
  <c r="N514" i="17"/>
  <c r="R506" i="17"/>
  <c r="N520" i="17"/>
  <c r="AK520" i="17" s="1"/>
  <c r="N518" i="17"/>
  <c r="AO518" i="17" s="1"/>
  <c r="N517" i="17"/>
  <c r="AO517" i="17" s="1"/>
  <c r="N513" i="17"/>
  <c r="AO513" i="17" s="1"/>
  <c r="N512" i="17"/>
  <c r="AK512" i="17" s="1"/>
  <c r="N511" i="17"/>
  <c r="AK511" i="17" s="1"/>
  <c r="AL511" i="17" s="1"/>
  <c r="N510" i="17"/>
  <c r="AK510" i="17" s="1"/>
  <c r="N509" i="17"/>
  <c r="AO509" i="17" s="1"/>
  <c r="N508" i="17"/>
  <c r="AK508" i="17" s="1"/>
  <c r="N507" i="17"/>
  <c r="N506" i="17"/>
  <c r="N505" i="17"/>
  <c r="AO505" i="17" s="1"/>
  <c r="N504" i="17"/>
  <c r="AK504" i="17" s="1"/>
  <c r="N503" i="17"/>
  <c r="N502" i="17"/>
  <c r="AK502" i="17" s="1"/>
  <c r="N287" i="17"/>
  <c r="AO287" i="17" s="1"/>
  <c r="N286" i="17"/>
  <c r="N285" i="17"/>
  <c r="AO285" i="17" s="1"/>
  <c r="N284" i="17"/>
  <c r="N283" i="17"/>
  <c r="N282" i="17"/>
  <c r="N281" i="17"/>
  <c r="N280" i="17"/>
  <c r="N279" i="17"/>
  <c r="N278" i="17"/>
  <c r="N277" i="17"/>
  <c r="N276" i="17"/>
  <c r="N275" i="17"/>
  <c r="N274" i="17"/>
  <c r="N273" i="17"/>
  <c r="N272" i="17"/>
  <c r="N271" i="17"/>
  <c r="AK271" i="17" s="1"/>
  <c r="N259" i="17"/>
  <c r="N258" i="17"/>
  <c r="N255" i="17"/>
  <c r="N253" i="17"/>
  <c r="N254" i="17"/>
  <c r="N270" i="17"/>
  <c r="N269" i="17"/>
  <c r="N268" i="17"/>
  <c r="N267" i="17"/>
  <c r="AO267" i="17" s="1"/>
  <c r="N266" i="17"/>
  <c r="N265" i="17"/>
  <c r="N264" i="17"/>
  <c r="N263" i="17"/>
  <c r="N237" i="17"/>
  <c r="N236" i="17"/>
  <c r="N234" i="17"/>
  <c r="N233" i="17"/>
  <c r="N235" i="17"/>
  <c r="M501" i="17"/>
  <c r="N501" i="17"/>
  <c r="AO501" i="17" s="1"/>
  <c r="S498" i="17"/>
  <c r="N497" i="17"/>
  <c r="AO497" i="17" s="1"/>
  <c r="N493" i="17"/>
  <c r="AO493" i="17" s="1"/>
  <c r="AU493" i="17"/>
  <c r="AR493" i="17"/>
  <c r="AQ493" i="17"/>
  <c r="AP493" i="17"/>
  <c r="AK493" i="17"/>
  <c r="AM493" i="17" s="1"/>
  <c r="AN493" i="17" s="1"/>
  <c r="N483" i="17"/>
  <c r="AO483" i="17" s="1"/>
  <c r="AU483" i="17"/>
  <c r="AR483" i="17"/>
  <c r="AQ483" i="17"/>
  <c r="AP483" i="17"/>
  <c r="N495" i="17"/>
  <c r="AO495" i="17" s="1"/>
  <c r="N492" i="17"/>
  <c r="AK492" i="17" s="1"/>
  <c r="AM492" i="17" s="1"/>
  <c r="AN492" i="17" s="1"/>
  <c r="M491" i="17"/>
  <c r="AP491" i="17" s="1"/>
  <c r="N500" i="17"/>
  <c r="N499" i="17"/>
  <c r="AO499" i="17" s="1"/>
  <c r="N498" i="17"/>
  <c r="AK498" i="17" s="1"/>
  <c r="N496" i="17"/>
  <c r="AK496" i="17" s="1"/>
  <c r="N494" i="17"/>
  <c r="AO494" i="17" s="1"/>
  <c r="N490" i="17"/>
  <c r="N491" i="17"/>
  <c r="AK491" i="17" s="1"/>
  <c r="M489" i="17"/>
  <c r="AK489" i="17" s="1"/>
  <c r="N489" i="17"/>
  <c r="M487" i="17"/>
  <c r="N487" i="17"/>
  <c r="AK487" i="17" s="1"/>
  <c r="M485" i="17"/>
  <c r="N485" i="17"/>
  <c r="N482" i="17"/>
  <c r="M481" i="17"/>
  <c r="AK481" i="17" s="1"/>
  <c r="AM481" i="17" s="1"/>
  <c r="AN481" i="17" s="1"/>
  <c r="N481" i="17"/>
  <c r="M479" i="17"/>
  <c r="N479" i="17"/>
  <c r="N488" i="17"/>
  <c r="AO488" i="17" s="1"/>
  <c r="N486" i="17"/>
  <c r="N484" i="17"/>
  <c r="N480" i="17"/>
  <c r="N478" i="17"/>
  <c r="AO478" i="17" s="1"/>
  <c r="AU528" i="17"/>
  <c r="AR528" i="17"/>
  <c r="AQ528" i="17"/>
  <c r="AP528" i="17"/>
  <c r="AO528" i="17"/>
  <c r="AK528" i="17"/>
  <c r="AL528" i="17" s="1"/>
  <c r="AU527" i="17"/>
  <c r="AR527" i="17"/>
  <c r="AQ527" i="17"/>
  <c r="AP527" i="17"/>
  <c r="AK527" i="17"/>
  <c r="AL527" i="17" s="1"/>
  <c r="AU526" i="17"/>
  <c r="AR526" i="17"/>
  <c r="AQ526" i="17"/>
  <c r="AP526" i="17"/>
  <c r="AU525" i="17"/>
  <c r="AR525" i="17"/>
  <c r="AQ525" i="17"/>
  <c r="AP525" i="17"/>
  <c r="AU524" i="17"/>
  <c r="AR524" i="17"/>
  <c r="AQ524" i="17"/>
  <c r="AP524" i="17"/>
  <c r="AO524" i="17"/>
  <c r="AK524" i="17"/>
  <c r="AM524" i="17" s="1"/>
  <c r="AN524" i="17" s="1"/>
  <c r="AU523" i="17"/>
  <c r="AR523" i="17"/>
  <c r="AQ523" i="17"/>
  <c r="AP523" i="17"/>
  <c r="AK523" i="17"/>
  <c r="AM523" i="17" s="1"/>
  <c r="AN523" i="17" s="1"/>
  <c r="AU522" i="17"/>
  <c r="AR522" i="17"/>
  <c r="AQ522" i="17"/>
  <c r="AP522" i="17"/>
  <c r="AK522" i="17"/>
  <c r="AM522" i="17" s="1"/>
  <c r="AN522" i="17" s="1"/>
  <c r="AU521" i="17"/>
  <c r="AR521" i="17"/>
  <c r="AQ521" i="17"/>
  <c r="AP521" i="17"/>
  <c r="AU520" i="17"/>
  <c r="AR520" i="17"/>
  <c r="AQ520" i="17"/>
  <c r="AP520" i="17"/>
  <c r="AO520" i="17"/>
  <c r="AU519" i="17"/>
  <c r="AR519" i="17"/>
  <c r="AQ519" i="17"/>
  <c r="AP519" i="17"/>
  <c r="AO519" i="17"/>
  <c r="AU518" i="17"/>
  <c r="AR518" i="17"/>
  <c r="AQ518" i="17"/>
  <c r="AP518" i="17"/>
  <c r="AK518" i="17"/>
  <c r="AM518" i="17" s="1"/>
  <c r="AN518" i="17" s="1"/>
  <c r="AU517" i="17"/>
  <c r="AR517" i="17"/>
  <c r="AQ517" i="17"/>
  <c r="AP517" i="17"/>
  <c r="AK517" i="17"/>
  <c r="AM517" i="17" s="1"/>
  <c r="AN517" i="17" s="1"/>
  <c r="AU516" i="17"/>
  <c r="AR516" i="17"/>
  <c r="AQ516" i="17"/>
  <c r="AP516" i="17"/>
  <c r="AO516" i="17"/>
  <c r="AU515" i="17"/>
  <c r="AR515" i="17"/>
  <c r="AQ515" i="17"/>
  <c r="AP515" i="17"/>
  <c r="AK515" i="17"/>
  <c r="AM515" i="17" s="1"/>
  <c r="AN515" i="17" s="1"/>
  <c r="AU514" i="17"/>
  <c r="AR514" i="17"/>
  <c r="AQ514" i="17"/>
  <c r="AP514" i="17"/>
  <c r="AO514" i="17"/>
  <c r="AU513" i="17"/>
  <c r="AR513" i="17"/>
  <c r="AQ513" i="17"/>
  <c r="AP513" i="17"/>
  <c r="AK513" i="17"/>
  <c r="AM513" i="17" s="1"/>
  <c r="AN513" i="17" s="1"/>
  <c r="AU512" i="17"/>
  <c r="AR512" i="17"/>
  <c r="AQ512" i="17"/>
  <c r="AP512" i="17"/>
  <c r="AO512" i="17"/>
  <c r="AU511" i="17"/>
  <c r="AR511" i="17"/>
  <c r="AQ511" i="17"/>
  <c r="AP511" i="17"/>
  <c r="AO511" i="17"/>
  <c r="AU510" i="17"/>
  <c r="AR510" i="17"/>
  <c r="AQ510" i="17"/>
  <c r="AP510" i="17"/>
  <c r="AO510" i="17"/>
  <c r="AU509" i="17"/>
  <c r="AR509" i="17"/>
  <c r="AQ509" i="17"/>
  <c r="AP509" i="17"/>
  <c r="AU508" i="17"/>
  <c r="AR508" i="17"/>
  <c r="AQ508" i="17"/>
  <c r="AP508" i="17"/>
  <c r="AU507" i="17"/>
  <c r="AR507" i="17"/>
  <c r="AQ507" i="17"/>
  <c r="AP507" i="17"/>
  <c r="AO507" i="17"/>
  <c r="AK507" i="17"/>
  <c r="AM507" i="17" s="1"/>
  <c r="AN507" i="17" s="1"/>
  <c r="AU506" i="17"/>
  <c r="AR506" i="17"/>
  <c r="AQ506" i="17"/>
  <c r="AP506" i="17"/>
  <c r="AO506" i="17"/>
  <c r="AU505" i="17"/>
  <c r="AR505" i="17"/>
  <c r="AQ505" i="17"/>
  <c r="AP505" i="17"/>
  <c r="AK505" i="17"/>
  <c r="AM505" i="17" s="1"/>
  <c r="AN505" i="17" s="1"/>
  <c r="AU504" i="17"/>
  <c r="AR504" i="17"/>
  <c r="AQ504" i="17"/>
  <c r="AP504" i="17"/>
  <c r="AO504" i="17"/>
  <c r="AU503" i="17"/>
  <c r="AR503" i="17"/>
  <c r="AQ503" i="17"/>
  <c r="AP503" i="17"/>
  <c r="AO503" i="17"/>
  <c r="AK503" i="17"/>
  <c r="AL503" i="17" s="1"/>
  <c r="AU502" i="17"/>
  <c r="AR502" i="17"/>
  <c r="AQ502" i="17"/>
  <c r="AP502" i="17"/>
  <c r="AO502" i="17"/>
  <c r="AU501" i="17"/>
  <c r="AR501" i="17"/>
  <c r="AQ501" i="17"/>
  <c r="AP501" i="17"/>
  <c r="AU500" i="17"/>
  <c r="AR500" i="17"/>
  <c r="AQ500" i="17"/>
  <c r="AP500" i="17"/>
  <c r="AO500" i="17"/>
  <c r="AK500" i="17"/>
  <c r="AM500" i="17" s="1"/>
  <c r="AN500" i="17" s="1"/>
  <c r="AU499" i="17"/>
  <c r="AR499" i="17"/>
  <c r="AQ499" i="17"/>
  <c r="AP499" i="17"/>
  <c r="AK499" i="17"/>
  <c r="AM499" i="17" s="1"/>
  <c r="AN499" i="17" s="1"/>
  <c r="AU498" i="17"/>
  <c r="AR498" i="17"/>
  <c r="AQ498" i="17"/>
  <c r="AP498" i="17"/>
  <c r="AO498" i="17"/>
  <c r="AU497" i="17"/>
  <c r="AR497" i="17"/>
  <c r="AQ497" i="17"/>
  <c r="AP497" i="17"/>
  <c r="AK497" i="17"/>
  <c r="AM497" i="17" s="1"/>
  <c r="AN497" i="17" s="1"/>
  <c r="AU496" i="17"/>
  <c r="AR496" i="17"/>
  <c r="AQ496" i="17"/>
  <c r="AP496" i="17"/>
  <c r="AO496" i="17"/>
  <c r="AU495" i="17"/>
  <c r="AR495" i="17"/>
  <c r="AQ495" i="17"/>
  <c r="AP495" i="17"/>
  <c r="AK495" i="17"/>
  <c r="AL495" i="17" s="1"/>
  <c r="AU494" i="17"/>
  <c r="AR494" i="17"/>
  <c r="AQ494" i="17"/>
  <c r="AP494" i="17"/>
  <c r="AK494" i="17"/>
  <c r="AL494" i="17" s="1"/>
  <c r="AU492" i="17"/>
  <c r="AR492" i="17"/>
  <c r="AQ492" i="17"/>
  <c r="AU491" i="17"/>
  <c r="AR491" i="17"/>
  <c r="AQ491" i="17"/>
  <c r="AO491" i="17"/>
  <c r="AU490" i="17"/>
  <c r="AR490" i="17"/>
  <c r="AQ490" i="17"/>
  <c r="AP490" i="17"/>
  <c r="AO490" i="17"/>
  <c r="AK490" i="17"/>
  <c r="AM490" i="17" s="1"/>
  <c r="AN490" i="17" s="1"/>
  <c r="AU489" i="17"/>
  <c r="AR489" i="17"/>
  <c r="AQ489" i="17"/>
  <c r="AP489" i="17"/>
  <c r="AO489" i="17"/>
  <c r="AU488" i="17"/>
  <c r="AR488" i="17"/>
  <c r="AQ488" i="17"/>
  <c r="AP488" i="17"/>
  <c r="AK488" i="17"/>
  <c r="AM488" i="17" s="1"/>
  <c r="AN488" i="17" s="1"/>
  <c r="AU487" i="17"/>
  <c r="AR487" i="17"/>
  <c r="AQ487" i="17"/>
  <c r="AP487" i="17"/>
  <c r="AO487" i="17"/>
  <c r="AU486" i="17"/>
  <c r="AR486" i="17"/>
  <c r="AQ486" i="17"/>
  <c r="AP486" i="17"/>
  <c r="AO486" i="17"/>
  <c r="AK486" i="17"/>
  <c r="AL486" i="17" s="1"/>
  <c r="AU485" i="17"/>
  <c r="AR485" i="17"/>
  <c r="AQ485" i="17"/>
  <c r="AP485" i="17"/>
  <c r="AO485" i="17"/>
  <c r="AK485" i="17"/>
  <c r="AL485" i="17" s="1"/>
  <c r="AU484" i="17"/>
  <c r="AR484" i="17"/>
  <c r="AQ484" i="17"/>
  <c r="AP484" i="17"/>
  <c r="AO484" i="17"/>
  <c r="AK484" i="17"/>
  <c r="AM484" i="17" s="1"/>
  <c r="AN484" i="17" s="1"/>
  <c r="AU482" i="17"/>
  <c r="AR482" i="17"/>
  <c r="AQ482" i="17"/>
  <c r="AO482" i="17"/>
  <c r="AU481" i="17"/>
  <c r="AR481" i="17"/>
  <c r="AQ481" i="17"/>
  <c r="AP481" i="17"/>
  <c r="AO481" i="17"/>
  <c r="R477" i="17"/>
  <c r="R476" i="17"/>
  <c r="R475" i="17"/>
  <c r="R474" i="17"/>
  <c r="M475" i="17"/>
  <c r="M474" i="17"/>
  <c r="N477" i="17"/>
  <c r="N476" i="17"/>
  <c r="N475" i="17"/>
  <c r="N474" i="17"/>
  <c r="AO474" i="17" s="1"/>
  <c r="R473" i="17"/>
  <c r="N473" i="17"/>
  <c r="N472" i="17"/>
  <c r="AK472" i="17" s="1"/>
  <c r="N471" i="17"/>
  <c r="AO471" i="17" s="1"/>
  <c r="N470" i="17"/>
  <c r="AK470" i="17" s="1"/>
  <c r="N469" i="17"/>
  <c r="AO469" i="17" s="1"/>
  <c r="N468" i="17"/>
  <c r="AK468" i="17" s="1"/>
  <c r="AM468" i="17" s="1"/>
  <c r="AN468" i="17" s="1"/>
  <c r="R467" i="17"/>
  <c r="AK467" i="17" s="1"/>
  <c r="AM467" i="17" s="1"/>
  <c r="AN467" i="17" s="1"/>
  <c r="R466" i="17"/>
  <c r="R465" i="17"/>
  <c r="M465" i="17"/>
  <c r="AP465" i="17" s="1"/>
  <c r="R464" i="17"/>
  <c r="M464" i="17"/>
  <c r="AP464" i="17" s="1"/>
  <c r="N467" i="17"/>
  <c r="N466" i="17"/>
  <c r="N465" i="17"/>
  <c r="AK465" i="17" s="1"/>
  <c r="N464" i="17"/>
  <c r="AA463" i="17"/>
  <c r="AQ463" i="17" s="1"/>
  <c r="R463" i="17"/>
  <c r="AD463" i="17" s="1"/>
  <c r="M463" i="17"/>
  <c r="AK463" i="17" s="1"/>
  <c r="N463" i="17"/>
  <c r="AA462" i="17"/>
  <c r="R462" i="17"/>
  <c r="AD462" i="17" s="1"/>
  <c r="M462" i="17"/>
  <c r="N462" i="17"/>
  <c r="AA457" i="17"/>
  <c r="AA461" i="17"/>
  <c r="AQ461" i="17" s="1"/>
  <c r="R461" i="17"/>
  <c r="AD461" i="17" s="1"/>
  <c r="M461" i="17"/>
  <c r="N461" i="17"/>
  <c r="N460" i="17"/>
  <c r="AK460" i="17" s="1"/>
  <c r="AM460" i="17" s="1"/>
  <c r="AN460" i="17" s="1"/>
  <c r="AA460" i="17"/>
  <c r="AD459" i="17"/>
  <c r="N459" i="17"/>
  <c r="AC459" i="17" s="1"/>
  <c r="AD458" i="17"/>
  <c r="N458" i="17"/>
  <c r="R457" i="17"/>
  <c r="M457" i="17"/>
  <c r="N457" i="17"/>
  <c r="AO457" i="17" s="1"/>
  <c r="N456" i="17"/>
  <c r="AC456" i="17" s="1"/>
  <c r="AR456" i="17" s="1"/>
  <c r="AC267" i="17"/>
  <c r="AR267" i="17" s="1"/>
  <c r="AA456" i="17"/>
  <c r="AA267" i="17"/>
  <c r="R266" i="17"/>
  <c r="AK266" i="17" s="1"/>
  <c r="AM266" i="17" s="1"/>
  <c r="AN266" i="17" s="1"/>
  <c r="R280" i="17"/>
  <c r="AK280" i="17" s="1"/>
  <c r="AU257" i="17"/>
  <c r="AR257" i="17"/>
  <c r="AQ257" i="17"/>
  <c r="AP257" i="17"/>
  <c r="N257" i="17"/>
  <c r="AO257" i="17" s="1"/>
  <c r="AK257" i="17"/>
  <c r="N262" i="17"/>
  <c r="N261" i="17"/>
  <c r="AK261" i="17" s="1"/>
  <c r="AM261" i="17" s="1"/>
  <c r="AN261" i="17" s="1"/>
  <c r="N260" i="17"/>
  <c r="R256" i="17"/>
  <c r="AK256" i="17" s="1"/>
  <c r="AM256" i="17" s="1"/>
  <c r="AN256" i="17" s="1"/>
  <c r="R255" i="17"/>
  <c r="N256" i="17"/>
  <c r="AU473" i="17"/>
  <c r="AR473" i="17"/>
  <c r="AQ473" i="17"/>
  <c r="AP473" i="17"/>
  <c r="AO473" i="17"/>
  <c r="AK473" i="17"/>
  <c r="AL473" i="17" s="1"/>
  <c r="AU472" i="17"/>
  <c r="AR472" i="17"/>
  <c r="AQ472" i="17"/>
  <c r="AP472" i="17"/>
  <c r="AO472" i="17"/>
  <c r="AU471" i="17"/>
  <c r="AR471" i="17"/>
  <c r="AQ471" i="17"/>
  <c r="AP471" i="17"/>
  <c r="AK471" i="17"/>
  <c r="AM471" i="17" s="1"/>
  <c r="AN471" i="17" s="1"/>
  <c r="AU470" i="17"/>
  <c r="AR470" i="17"/>
  <c r="AQ470" i="17"/>
  <c r="AP470" i="17"/>
  <c r="AO470" i="17"/>
  <c r="AU469" i="17"/>
  <c r="AR469" i="17"/>
  <c r="AQ469" i="17"/>
  <c r="AP469" i="17"/>
  <c r="AU468" i="17"/>
  <c r="AR468" i="17"/>
  <c r="AQ468" i="17"/>
  <c r="AP468" i="17"/>
  <c r="AO468" i="17"/>
  <c r="AU467" i="17"/>
  <c r="AR467" i="17"/>
  <c r="AQ467" i="17"/>
  <c r="AP467" i="17"/>
  <c r="AO467" i="17"/>
  <c r="AU466" i="17"/>
  <c r="AR466" i="17"/>
  <c r="AQ466" i="17"/>
  <c r="AP466" i="17"/>
  <c r="AO466" i="17"/>
  <c r="AU465" i="17"/>
  <c r="AR465" i="17"/>
  <c r="AQ465" i="17"/>
  <c r="AU464" i="17"/>
  <c r="AR464" i="17"/>
  <c r="AQ464" i="17"/>
  <c r="AO464" i="17"/>
  <c r="AU463" i="17"/>
  <c r="AP463" i="17"/>
  <c r="AO463" i="17"/>
  <c r="AU462" i="17"/>
  <c r="AQ462" i="17"/>
  <c r="AO462" i="17"/>
  <c r="AU461" i="17"/>
  <c r="AP461" i="17"/>
  <c r="AU460" i="17"/>
  <c r="AQ460" i="17"/>
  <c r="AP460" i="17"/>
  <c r="AO460" i="17"/>
  <c r="AU459" i="17"/>
  <c r="AP459" i="17"/>
  <c r="AU458" i="17"/>
  <c r="AQ458" i="17"/>
  <c r="AP458" i="17"/>
  <c r="AO458" i="17"/>
  <c r="AK458" i="17"/>
  <c r="AM458" i="17" s="1"/>
  <c r="AN458" i="17" s="1"/>
  <c r="AU457" i="17"/>
  <c r="AQ457" i="17"/>
  <c r="AP457" i="17"/>
  <c r="AU456" i="17"/>
  <c r="AQ456" i="17"/>
  <c r="AP456" i="17"/>
  <c r="AU287" i="17"/>
  <c r="AR287" i="17"/>
  <c r="AQ287" i="17"/>
  <c r="AP287" i="17"/>
  <c r="AK287" i="17"/>
  <c r="AU286" i="17"/>
  <c r="AR286" i="17"/>
  <c r="AQ286" i="17"/>
  <c r="AP286" i="17"/>
  <c r="AO286" i="17"/>
  <c r="AK286" i="17"/>
  <c r="AU285" i="17"/>
  <c r="AR285" i="17"/>
  <c r="AQ285" i="17"/>
  <c r="AP285" i="17"/>
  <c r="AK285" i="17"/>
  <c r="AU284" i="17"/>
  <c r="AR284" i="17"/>
  <c r="AQ284" i="17"/>
  <c r="AP284" i="17"/>
  <c r="AO284" i="17"/>
  <c r="AK284" i="17"/>
  <c r="AM284" i="17" s="1"/>
  <c r="AN284" i="17" s="1"/>
  <c r="AU283" i="17"/>
  <c r="AR283" i="17"/>
  <c r="AQ283" i="17"/>
  <c r="AP283" i="17"/>
  <c r="AO283" i="17"/>
  <c r="AK283" i="17"/>
  <c r="AU282" i="17"/>
  <c r="AR282" i="17"/>
  <c r="AQ282" i="17"/>
  <c r="AP282" i="17"/>
  <c r="AO282" i="17"/>
  <c r="AK282" i="17"/>
  <c r="AM282" i="17" s="1"/>
  <c r="AN282" i="17" s="1"/>
  <c r="AU281" i="17"/>
  <c r="AR281" i="17"/>
  <c r="AQ281" i="17"/>
  <c r="AP281" i="17"/>
  <c r="AO281" i="17"/>
  <c r="AK281" i="17"/>
  <c r="AU280" i="17"/>
  <c r="AR280" i="17"/>
  <c r="AQ280" i="17"/>
  <c r="AP280" i="17"/>
  <c r="AO280" i="17"/>
  <c r="AU279" i="17"/>
  <c r="AR279" i="17"/>
  <c r="AQ279" i="17"/>
  <c r="AP279" i="17"/>
  <c r="AO279" i="17"/>
  <c r="AK279" i="17"/>
  <c r="AU278" i="17"/>
  <c r="AR278" i="17"/>
  <c r="AQ278" i="17"/>
  <c r="AP278" i="17"/>
  <c r="AO278" i="17"/>
  <c r="AK278" i="17"/>
  <c r="AL278" i="17" s="1"/>
  <c r="AU277" i="17"/>
  <c r="AR277" i="17"/>
  <c r="AQ277" i="17"/>
  <c r="AP277" i="17"/>
  <c r="AO277" i="17"/>
  <c r="AK277" i="17"/>
  <c r="AU276" i="17"/>
  <c r="AR276" i="17"/>
  <c r="AQ276" i="17"/>
  <c r="AP276" i="17"/>
  <c r="AO276" i="17"/>
  <c r="AK276" i="17"/>
  <c r="AM276" i="17" s="1"/>
  <c r="AN276" i="17" s="1"/>
  <c r="AU275" i="17"/>
  <c r="AR275" i="17"/>
  <c r="AQ275" i="17"/>
  <c r="AP275" i="17"/>
  <c r="AO275" i="17"/>
  <c r="AK275" i="17"/>
  <c r="AU274" i="17"/>
  <c r="AR274" i="17"/>
  <c r="AQ274" i="17"/>
  <c r="AP274" i="17"/>
  <c r="AO274" i="17"/>
  <c r="AK274" i="17"/>
  <c r="AM274" i="17" s="1"/>
  <c r="AN274" i="17" s="1"/>
  <c r="AU273" i="17"/>
  <c r="AR273" i="17"/>
  <c r="AQ273" i="17"/>
  <c r="AP273" i="17"/>
  <c r="AO273" i="17"/>
  <c r="AK273" i="17"/>
  <c r="AU272" i="17"/>
  <c r="AR272" i="17"/>
  <c r="AQ272" i="17"/>
  <c r="AP272" i="17"/>
  <c r="AO272" i="17"/>
  <c r="AK272" i="17"/>
  <c r="AU271" i="17"/>
  <c r="AR271" i="17"/>
  <c r="AQ271" i="17"/>
  <c r="AP271" i="17"/>
  <c r="AO271" i="17"/>
  <c r="AU270" i="17"/>
  <c r="AR270" i="17"/>
  <c r="AQ270" i="17"/>
  <c r="AP270" i="17"/>
  <c r="AO270" i="17"/>
  <c r="AK270" i="17"/>
  <c r="AL270" i="17" s="1"/>
  <c r="AU269" i="17"/>
  <c r="AR269" i="17"/>
  <c r="AQ269" i="17"/>
  <c r="AP269" i="17"/>
  <c r="AO269" i="17"/>
  <c r="AK269" i="17"/>
  <c r="AU268" i="17"/>
  <c r="AR268" i="17"/>
  <c r="AQ268" i="17"/>
  <c r="AP268" i="17"/>
  <c r="AO268" i="17"/>
  <c r="AK268" i="17"/>
  <c r="AM268" i="17" s="1"/>
  <c r="AN268" i="17" s="1"/>
  <c r="AU267" i="17"/>
  <c r="AQ267" i="17"/>
  <c r="AP267" i="17"/>
  <c r="AK267" i="17"/>
  <c r="AU266" i="17"/>
  <c r="AR266" i="17"/>
  <c r="AQ266" i="17"/>
  <c r="AP266" i="17"/>
  <c r="AO266" i="17"/>
  <c r="AA221" i="17"/>
  <c r="AA219" i="17"/>
  <c r="AD219" i="17"/>
  <c r="M219" i="17"/>
  <c r="R221" i="17"/>
  <c r="M221" i="17"/>
  <c r="N252" i="17"/>
  <c r="N251" i="17"/>
  <c r="AK251" i="17" s="1"/>
  <c r="N250" i="17"/>
  <c r="AK250" i="17" s="1"/>
  <c r="N249" i="17"/>
  <c r="N248" i="17"/>
  <c r="AK248" i="17" s="1"/>
  <c r="N247" i="17"/>
  <c r="N246" i="17"/>
  <c r="N245" i="17"/>
  <c r="AO245" i="17" s="1"/>
  <c r="T231" i="17"/>
  <c r="AA231" i="17"/>
  <c r="N244" i="17"/>
  <c r="N243" i="17"/>
  <c r="AK243" i="17" s="1"/>
  <c r="AM243" i="17" s="1"/>
  <c r="AN243" i="17" s="1"/>
  <c r="N242" i="17"/>
  <c r="N241" i="17"/>
  <c r="N240" i="17"/>
  <c r="N239" i="17"/>
  <c r="Q238" i="17"/>
  <c r="N238" i="17"/>
  <c r="AU530" i="17"/>
  <c r="AR530" i="17"/>
  <c r="AQ530" i="17"/>
  <c r="AP530" i="17"/>
  <c r="AO530" i="17"/>
  <c r="AK530" i="17"/>
  <c r="AU529" i="17"/>
  <c r="AR529" i="17"/>
  <c r="AQ529" i="17"/>
  <c r="AP529" i="17"/>
  <c r="AO529" i="17"/>
  <c r="AK529" i="17"/>
  <c r="AM529" i="17" s="1"/>
  <c r="AN529" i="17" s="1"/>
  <c r="AU480" i="17"/>
  <c r="AR480" i="17"/>
  <c r="AQ480" i="17"/>
  <c r="AP480" i="17"/>
  <c r="AO480" i="17"/>
  <c r="AK480" i="17"/>
  <c r="AM480" i="17" s="1"/>
  <c r="AN480" i="17" s="1"/>
  <c r="AU479" i="17"/>
  <c r="AR479" i="17"/>
  <c r="AQ479" i="17"/>
  <c r="AP479" i="17"/>
  <c r="AO479" i="17"/>
  <c r="AK479" i="17"/>
  <c r="AM479" i="17" s="1"/>
  <c r="AN479" i="17" s="1"/>
  <c r="AU478" i="17"/>
  <c r="AR478" i="17"/>
  <c r="AQ478" i="17"/>
  <c r="AP478" i="17"/>
  <c r="AK478" i="17"/>
  <c r="AM478" i="17" s="1"/>
  <c r="AN478" i="17" s="1"/>
  <c r="AU477" i="17"/>
  <c r="AR477" i="17"/>
  <c r="AQ477" i="17"/>
  <c r="AP477" i="17"/>
  <c r="AO477" i="17"/>
  <c r="AK477" i="17"/>
  <c r="AM477" i="17" s="1"/>
  <c r="AN477" i="17" s="1"/>
  <c r="AU476" i="17"/>
  <c r="AR476" i="17"/>
  <c r="AQ476" i="17"/>
  <c r="AP476" i="17"/>
  <c r="AO476" i="17"/>
  <c r="AK476" i="17"/>
  <c r="AM476" i="17" s="1"/>
  <c r="AN476" i="17" s="1"/>
  <c r="AU475" i="17"/>
  <c r="AR475" i="17"/>
  <c r="AQ475" i="17"/>
  <c r="AP475" i="17"/>
  <c r="AO475" i="17"/>
  <c r="AK475" i="17"/>
  <c r="AU474" i="17"/>
  <c r="AR474" i="17"/>
  <c r="AQ474" i="17"/>
  <c r="AP474" i="17"/>
  <c r="AK474" i="17"/>
  <c r="AU265" i="17"/>
  <c r="AR265" i="17"/>
  <c r="AQ265" i="17"/>
  <c r="AP265" i="17"/>
  <c r="AO265" i="17"/>
  <c r="AK265" i="17"/>
  <c r="AU264" i="17"/>
  <c r="AR264" i="17"/>
  <c r="AQ264" i="17"/>
  <c r="AP264" i="17"/>
  <c r="AO264" i="17"/>
  <c r="AK264" i="17"/>
  <c r="AM264" i="17" s="1"/>
  <c r="AN264" i="17" s="1"/>
  <c r="AL264" i="17"/>
  <c r="AU263" i="17"/>
  <c r="AR263" i="17"/>
  <c r="AQ263" i="17"/>
  <c r="AP263" i="17"/>
  <c r="AO263" i="17"/>
  <c r="AK263" i="17"/>
  <c r="AM263" i="17" s="1"/>
  <c r="AN263" i="17" s="1"/>
  <c r="AU262" i="17"/>
  <c r="AR262" i="17"/>
  <c r="AQ262" i="17"/>
  <c r="AP262" i="17"/>
  <c r="AO262" i="17"/>
  <c r="AK262" i="17"/>
  <c r="AM262" i="17" s="1"/>
  <c r="AN262" i="17" s="1"/>
  <c r="AU261" i="17"/>
  <c r="AR261" i="17"/>
  <c r="AQ261" i="17"/>
  <c r="AP261" i="17"/>
  <c r="AO261" i="17"/>
  <c r="AU260" i="17"/>
  <c r="AR260" i="17"/>
  <c r="AQ260" i="17"/>
  <c r="AP260" i="17"/>
  <c r="AO260" i="17"/>
  <c r="AK260" i="17"/>
  <c r="AM260" i="17" s="1"/>
  <c r="AN260" i="17" s="1"/>
  <c r="AU259" i="17"/>
  <c r="AR259" i="17"/>
  <c r="AQ259" i="17"/>
  <c r="AP259" i="17"/>
  <c r="AO259" i="17"/>
  <c r="AK259" i="17"/>
  <c r="AU258" i="17"/>
  <c r="AR258" i="17"/>
  <c r="AQ258" i="17"/>
  <c r="AP258" i="17"/>
  <c r="AO258" i="17"/>
  <c r="AK258" i="17"/>
  <c r="AM258" i="17" s="1"/>
  <c r="AN258" i="17" s="1"/>
  <c r="AU256" i="17"/>
  <c r="AR256" i="17"/>
  <c r="AQ256" i="17"/>
  <c r="AP256" i="17"/>
  <c r="AO256" i="17"/>
  <c r="AU255" i="17"/>
  <c r="AR255" i="17"/>
  <c r="AQ255" i="17"/>
  <c r="AP255" i="17"/>
  <c r="AO255" i="17"/>
  <c r="AK255" i="17"/>
  <c r="AU254" i="17"/>
  <c r="AR254" i="17"/>
  <c r="AQ254" i="17"/>
  <c r="AP254" i="17"/>
  <c r="AO254" i="17"/>
  <c r="AK254" i="17"/>
  <c r="AM254" i="17" s="1"/>
  <c r="AN254" i="17" s="1"/>
  <c r="AU253" i="17"/>
  <c r="AR253" i="17"/>
  <c r="AQ253" i="17"/>
  <c r="AP253" i="17"/>
  <c r="AO253" i="17"/>
  <c r="AK253" i="17"/>
  <c r="AM253" i="17" s="1"/>
  <c r="AN253" i="17" s="1"/>
  <c r="AU252" i="17"/>
  <c r="AR252" i="17"/>
  <c r="AQ252" i="17"/>
  <c r="AP252" i="17"/>
  <c r="AO252" i="17"/>
  <c r="AK252" i="17"/>
  <c r="AM252" i="17" s="1"/>
  <c r="AN252" i="17" s="1"/>
  <c r="AU251" i="17"/>
  <c r="AR251" i="17"/>
  <c r="AQ251" i="17"/>
  <c r="AP251" i="17"/>
  <c r="AO251" i="17"/>
  <c r="AU250" i="17"/>
  <c r="AR250" i="17"/>
  <c r="AQ250" i="17"/>
  <c r="AP250" i="17"/>
  <c r="AO250" i="17"/>
  <c r="AU249" i="17"/>
  <c r="AR249" i="17"/>
  <c r="AQ249" i="17"/>
  <c r="AP249" i="17"/>
  <c r="AO249" i="17"/>
  <c r="AK249" i="17"/>
  <c r="AU248" i="17"/>
  <c r="AR248" i="17"/>
  <c r="AQ248" i="17"/>
  <c r="AP248" i="17"/>
  <c r="AO248" i="17"/>
  <c r="AU247" i="17"/>
  <c r="AR247" i="17"/>
  <c r="AQ247" i="17"/>
  <c r="AP247" i="17"/>
  <c r="AO247" i="17"/>
  <c r="AK247" i="17"/>
  <c r="AL247" i="17" s="1"/>
  <c r="AU246" i="17"/>
  <c r="AR246" i="17"/>
  <c r="AQ246" i="17"/>
  <c r="AP246" i="17"/>
  <c r="AO246" i="17"/>
  <c r="AK246" i="17"/>
  <c r="AM246" i="17" s="1"/>
  <c r="AN246" i="17" s="1"/>
  <c r="AU245" i="17"/>
  <c r="AR245" i="17"/>
  <c r="AQ245" i="17"/>
  <c r="AP245" i="17"/>
  <c r="AU244" i="17"/>
  <c r="AR244" i="17"/>
  <c r="AQ244" i="17"/>
  <c r="AP244" i="17"/>
  <c r="AO244" i="17"/>
  <c r="AK244" i="17"/>
  <c r="AM244" i="17" s="1"/>
  <c r="AN244" i="17" s="1"/>
  <c r="AU243" i="17"/>
  <c r="AR243" i="17"/>
  <c r="AQ243" i="17"/>
  <c r="AP243" i="17"/>
  <c r="AO243" i="17"/>
  <c r="AU242" i="17"/>
  <c r="AR242" i="17"/>
  <c r="AQ242" i="17"/>
  <c r="AP242" i="17"/>
  <c r="AO242" i="17"/>
  <c r="AK242" i="17"/>
  <c r="AU241" i="17"/>
  <c r="AR241" i="17"/>
  <c r="AQ241" i="17"/>
  <c r="AP241" i="17"/>
  <c r="AU240" i="17"/>
  <c r="AR240" i="17"/>
  <c r="AQ240" i="17"/>
  <c r="AP240" i="17"/>
  <c r="AO240" i="17"/>
  <c r="AK240" i="17"/>
  <c r="AM240" i="17" s="1"/>
  <c r="AN240" i="17" s="1"/>
  <c r="R237" i="17"/>
  <c r="M237" i="17"/>
  <c r="M234" i="17"/>
  <c r="R229" i="17"/>
  <c r="AD229" i="17" s="1"/>
  <c r="R228" i="17"/>
  <c r="AD228" i="17"/>
  <c r="R227" i="17"/>
  <c r="AD227" i="17" s="1"/>
  <c r="R226" i="17"/>
  <c r="AD226" i="17" s="1"/>
  <c r="R225" i="17"/>
  <c r="AD225" i="17"/>
  <c r="R223" i="17"/>
  <c r="AD223" i="17" s="1"/>
  <c r="R222" i="17"/>
  <c r="AD222" i="17" s="1"/>
  <c r="AD221" i="17"/>
  <c r="R218" i="17"/>
  <c r="AD218" i="17" s="1"/>
  <c r="R217" i="17"/>
  <c r="AD217" i="17" s="1"/>
  <c r="R216" i="17"/>
  <c r="AD216" i="17"/>
  <c r="R214" i="17"/>
  <c r="AD214" i="17" s="1"/>
  <c r="R213" i="17"/>
  <c r="AD213" i="17"/>
  <c r="R212" i="17"/>
  <c r="AD212" i="17" s="1"/>
  <c r="R211" i="17"/>
  <c r="AD211" i="17" s="1"/>
  <c r="R71" i="17"/>
  <c r="AD71" i="17" s="1"/>
  <c r="R69" i="17"/>
  <c r="AD69" i="17"/>
  <c r="AD61" i="17"/>
  <c r="R58" i="17"/>
  <c r="AD58" i="17"/>
  <c r="R56" i="17"/>
  <c r="AD56" i="17" s="1"/>
  <c r="R46" i="17"/>
  <c r="AD46" i="17" s="1"/>
  <c r="AD39" i="17"/>
  <c r="AD38" i="17"/>
  <c r="R11" i="17"/>
  <c r="AA232" i="17"/>
  <c r="AQ232" i="17" s="1"/>
  <c r="N232" i="17"/>
  <c r="AC232" i="17" s="1"/>
  <c r="AR232" i="17" s="1"/>
  <c r="N231" i="17"/>
  <c r="AC231" i="17" s="1"/>
  <c r="AR231" i="17" s="1"/>
  <c r="AA230" i="17"/>
  <c r="N230" i="17"/>
  <c r="AC230" i="17" s="1"/>
  <c r="AR230" i="17" s="1"/>
  <c r="N226" i="17"/>
  <c r="AC226" i="17" s="1"/>
  <c r="AA229" i="17"/>
  <c r="AA228" i="17"/>
  <c r="M229" i="17"/>
  <c r="AP229" i="17" s="1"/>
  <c r="N229" i="17"/>
  <c r="M228" i="17"/>
  <c r="AC228" i="17" s="1"/>
  <c r="N228" i="17"/>
  <c r="AA227" i="17"/>
  <c r="N227" i="17"/>
  <c r="AC227" i="17" s="1"/>
  <c r="AA226" i="17"/>
  <c r="AQ226" i="17" s="1"/>
  <c r="AA225" i="17"/>
  <c r="N225" i="17"/>
  <c r="AC225" i="17"/>
  <c r="N224" i="17"/>
  <c r="AC224" i="17" s="1"/>
  <c r="AR224" i="17" s="1"/>
  <c r="M223" i="17"/>
  <c r="AA223" i="17"/>
  <c r="N223" i="17"/>
  <c r="AK223" i="17" s="1"/>
  <c r="AM223" i="17" s="1"/>
  <c r="AN223" i="17" s="1"/>
  <c r="AC223" i="17"/>
  <c r="M222" i="17"/>
  <c r="N222" i="17"/>
  <c r="AC222" i="17"/>
  <c r="U222" i="17"/>
  <c r="AA222" i="17"/>
  <c r="N221" i="17"/>
  <c r="AC221" i="17"/>
  <c r="N219" i="17"/>
  <c r="AC219" i="17" s="1"/>
  <c r="AR219" i="17" s="1"/>
  <c r="AA218" i="17"/>
  <c r="AQ218" i="17" s="1"/>
  <c r="M218" i="17"/>
  <c r="N218" i="17"/>
  <c r="AA216" i="17"/>
  <c r="M216" i="17"/>
  <c r="M217" i="17"/>
  <c r="N217" i="17"/>
  <c r="AC217" i="17"/>
  <c r="AA217" i="17"/>
  <c r="AA215" i="17"/>
  <c r="N216" i="17"/>
  <c r="N215" i="17"/>
  <c r="AC215" i="17" s="1"/>
  <c r="AR215" i="17" s="1"/>
  <c r="M214" i="17"/>
  <c r="AK214" i="17" s="1"/>
  <c r="AM214" i="17" s="1"/>
  <c r="AN214" i="17" s="1"/>
  <c r="N214" i="17"/>
  <c r="AA214" i="17"/>
  <c r="AA213" i="17"/>
  <c r="AQ213" i="17" s="1"/>
  <c r="M213" i="17"/>
  <c r="AC213" i="17" s="1"/>
  <c r="N213" i="17"/>
  <c r="M212" i="17"/>
  <c r="AA212" i="17"/>
  <c r="N212" i="17"/>
  <c r="AA211" i="17"/>
  <c r="M211" i="17"/>
  <c r="N211" i="17"/>
  <c r="M210" i="17"/>
  <c r="AA209" i="17"/>
  <c r="M209" i="17"/>
  <c r="AC210" i="17"/>
  <c r="AR210" i="17" s="1"/>
  <c r="N209" i="17"/>
  <c r="M208" i="17"/>
  <c r="AC208" i="17" s="1"/>
  <c r="AR208" i="17" s="1"/>
  <c r="AA207" i="17"/>
  <c r="AQ207" i="17" s="1"/>
  <c r="M207" i="17"/>
  <c r="N207" i="17"/>
  <c r="AC207" i="17" s="1"/>
  <c r="AR207" i="17" s="1"/>
  <c r="M206" i="17"/>
  <c r="AK206" i="17" s="1"/>
  <c r="AL206" i="17" s="1"/>
  <c r="AC206" i="17"/>
  <c r="AR206" i="17" s="1"/>
  <c r="AU701" i="17"/>
  <c r="AR701" i="17"/>
  <c r="AQ701" i="17"/>
  <c r="AP701" i="17"/>
  <c r="AO701" i="17"/>
  <c r="AK701" i="17"/>
  <c r="AM701" i="17" s="1"/>
  <c r="AN701" i="17" s="1"/>
  <c r="N80" i="17"/>
  <c r="AA80" i="17" s="1"/>
  <c r="AQ80" i="17" s="1"/>
  <c r="AA79" i="17"/>
  <c r="N79" i="17"/>
  <c r="AC79" i="17" s="1"/>
  <c r="AR79" i="17" s="1"/>
  <c r="AA78" i="17"/>
  <c r="N78" i="17"/>
  <c r="M77" i="17"/>
  <c r="N77" i="17"/>
  <c r="AC77" i="17" s="1"/>
  <c r="AR77" i="17" s="1"/>
  <c r="AA76" i="17"/>
  <c r="AQ76" i="17" s="1"/>
  <c r="AA75" i="17"/>
  <c r="AC76" i="17"/>
  <c r="N75" i="17"/>
  <c r="N74" i="17"/>
  <c r="AA74" i="17"/>
  <c r="AC74" i="17"/>
  <c r="AR74" i="17" s="1"/>
  <c r="AA72" i="17"/>
  <c r="M73" i="17"/>
  <c r="AP73" i="17" s="1"/>
  <c r="N73" i="17"/>
  <c r="N72" i="17"/>
  <c r="AC72" i="17" s="1"/>
  <c r="AR72" i="17" s="1"/>
  <c r="AA71" i="17"/>
  <c r="AA69" i="17"/>
  <c r="N71" i="17"/>
  <c r="AC71" i="17" s="1"/>
  <c r="N70" i="17"/>
  <c r="N69" i="17"/>
  <c r="AO69" i="17" s="1"/>
  <c r="AC69" i="17"/>
  <c r="AA68" i="17"/>
  <c r="N68" i="17"/>
  <c r="AC68" i="17" s="1"/>
  <c r="AR68" i="17" s="1"/>
  <c r="AA67" i="17"/>
  <c r="AQ67" i="17" s="1"/>
  <c r="N67" i="17"/>
  <c r="AC67" i="17"/>
  <c r="AR67" i="17" s="1"/>
  <c r="AA66" i="17"/>
  <c r="N66" i="17"/>
  <c r="AA65" i="17"/>
  <c r="N65" i="17"/>
  <c r="AC65" i="17" s="1"/>
  <c r="AR65" i="17" s="1"/>
  <c r="AA63" i="17"/>
  <c r="N63" i="17"/>
  <c r="AC63" i="17"/>
  <c r="AR63" i="17" s="1"/>
  <c r="AA62" i="17"/>
  <c r="M62" i="17"/>
  <c r="N62" i="17"/>
  <c r="AC62" i="17" s="1"/>
  <c r="AR62" i="17" s="1"/>
  <c r="AA61" i="17"/>
  <c r="AQ61" i="17" s="1"/>
  <c r="AA60" i="17"/>
  <c r="M61" i="17"/>
  <c r="N61" i="17"/>
  <c r="AK61" i="17" s="1"/>
  <c r="AM61" i="17" s="1"/>
  <c r="AN61" i="17" s="1"/>
  <c r="N60" i="17"/>
  <c r="AC60" i="17"/>
  <c r="AR60" i="17" s="1"/>
  <c r="AA59" i="17"/>
  <c r="N59" i="17"/>
  <c r="AC59" i="17" s="1"/>
  <c r="AR59" i="17" s="1"/>
  <c r="AU61" i="17"/>
  <c r="AO61" i="17"/>
  <c r="AA58" i="17"/>
  <c r="M58" i="17"/>
  <c r="N58" i="17"/>
  <c r="M57" i="17"/>
  <c r="AC57" i="17" s="1"/>
  <c r="AR57" i="17" s="1"/>
  <c r="N57" i="17"/>
  <c r="AA56" i="17"/>
  <c r="N56" i="17"/>
  <c r="AC56" i="17"/>
  <c r="AD55" i="17"/>
  <c r="M55" i="17"/>
  <c r="AC55" i="17" s="1"/>
  <c r="N55" i="17"/>
  <c r="N54" i="17"/>
  <c r="AC54" i="17" s="1"/>
  <c r="AR54" i="17" s="1"/>
  <c r="AD53" i="17"/>
  <c r="AD47" i="17"/>
  <c r="M53" i="17"/>
  <c r="AP53" i="17" s="1"/>
  <c r="N53" i="17"/>
  <c r="AO53" i="17" s="1"/>
  <c r="N52" i="17"/>
  <c r="AC52" i="17" s="1"/>
  <c r="AR52" i="17" s="1"/>
  <c r="AA49" i="17"/>
  <c r="N49" i="17"/>
  <c r="AC49" i="17" s="1"/>
  <c r="AR49" i="17" s="1"/>
  <c r="AA46" i="17"/>
  <c r="M47" i="17"/>
  <c r="N47" i="17"/>
  <c r="AO47" i="17" s="1"/>
  <c r="N46" i="17"/>
  <c r="AA45" i="17"/>
  <c r="N45" i="17"/>
  <c r="AC45" i="17" s="1"/>
  <c r="AR45" i="17" s="1"/>
  <c r="AA44" i="17"/>
  <c r="N44" i="17"/>
  <c r="AC44" i="17" s="1"/>
  <c r="AR44" i="17" s="1"/>
  <c r="AA42" i="17"/>
  <c r="N42" i="17"/>
  <c r="AC42" i="17" s="1"/>
  <c r="AR42" i="17" s="1"/>
  <c r="AA41" i="17"/>
  <c r="AA40" i="17"/>
  <c r="AQ40" i="17" s="1"/>
  <c r="N41" i="17"/>
  <c r="N40" i="17"/>
  <c r="AC40" i="17" s="1"/>
  <c r="M39" i="17"/>
  <c r="AK39" i="17" s="1"/>
  <c r="AM39" i="17" s="1"/>
  <c r="AN39" i="17" s="1"/>
  <c r="M37" i="17"/>
  <c r="AC37" i="17" s="1"/>
  <c r="AR37" i="17" s="1"/>
  <c r="N38" i="17"/>
  <c r="AC38" i="17" s="1"/>
  <c r="N37" i="17"/>
  <c r="AA37" i="17"/>
  <c r="AQ37" i="17" s="1"/>
  <c r="AA36" i="17"/>
  <c r="AA35" i="17"/>
  <c r="N36" i="17"/>
  <c r="AK36" i="17" s="1"/>
  <c r="AL36" i="17" s="1"/>
  <c r="M35" i="17"/>
  <c r="AC35" i="17" s="1"/>
  <c r="AR35" i="17" s="1"/>
  <c r="N35" i="17"/>
  <c r="N34" i="17"/>
  <c r="AC34" i="17"/>
  <c r="AR34" i="17" s="1"/>
  <c r="AA34" i="17"/>
  <c r="AA33" i="17"/>
  <c r="N33" i="17"/>
  <c r="AC33" i="17" s="1"/>
  <c r="AR33" i="17" s="1"/>
  <c r="AA32" i="17"/>
  <c r="N32" i="17"/>
  <c r="AC32" i="17"/>
  <c r="AR32" i="17" s="1"/>
  <c r="AA31" i="17"/>
  <c r="N31" i="17"/>
  <c r="AC31" i="17" s="1"/>
  <c r="AR31" i="17" s="1"/>
  <c r="N30" i="17"/>
  <c r="AK30" i="17" s="1"/>
  <c r="AC30" i="17"/>
  <c r="AR30" i="17" s="1"/>
  <c r="M29" i="17"/>
  <c r="N29" i="17"/>
  <c r="AA30" i="17"/>
  <c r="AQ30" i="17" s="1"/>
  <c r="AA29" i="17"/>
  <c r="N28" i="17"/>
  <c r="AC28" i="17" s="1"/>
  <c r="AR28" i="17" s="1"/>
  <c r="AU30" i="17"/>
  <c r="AP30" i="17"/>
  <c r="AA27" i="17"/>
  <c r="AC27" i="17"/>
  <c r="AR27" i="17" s="1"/>
  <c r="AA26" i="17"/>
  <c r="Q26" i="17"/>
  <c r="AD26" i="17"/>
  <c r="M26" i="17"/>
  <c r="N26" i="17"/>
  <c r="AC26" i="17"/>
  <c r="AA25" i="17"/>
  <c r="N25" i="17"/>
  <c r="AC25" i="17" s="1"/>
  <c r="AR25" i="17" s="1"/>
  <c r="N24" i="17"/>
  <c r="AC24" i="17"/>
  <c r="AR24" i="17" s="1"/>
  <c r="AD23" i="17"/>
  <c r="M23" i="17"/>
  <c r="N23" i="17"/>
  <c r="AD22" i="17"/>
  <c r="M22" i="17"/>
  <c r="AC22" i="17" s="1"/>
  <c r="AR22" i="17" s="1"/>
  <c r="N22" i="17"/>
  <c r="AD21" i="17"/>
  <c r="AD17" i="17"/>
  <c r="M21" i="17"/>
  <c r="N21" i="17"/>
  <c r="N20" i="17"/>
  <c r="M11" i="17"/>
  <c r="AC11" i="17" s="1"/>
  <c r="AR11" i="17" s="1"/>
  <c r="N11" i="17"/>
  <c r="M19" i="17"/>
  <c r="N19" i="17"/>
  <c r="M18" i="17"/>
  <c r="N18" i="17"/>
  <c r="M17" i="17"/>
  <c r="AC17" i="17" s="1"/>
  <c r="AR17" i="17" s="1"/>
  <c r="N17" i="17"/>
  <c r="M16" i="17"/>
  <c r="N16" i="17"/>
  <c r="AC16" i="17"/>
  <c r="M15" i="17"/>
  <c r="AC15" i="17" s="1"/>
  <c r="AR15" i="17" s="1"/>
  <c r="N15" i="17"/>
  <c r="M14" i="17"/>
  <c r="AC14" i="17" s="1"/>
  <c r="AR14" i="17" s="1"/>
  <c r="N14" i="17"/>
  <c r="M13" i="17"/>
  <c r="N13" i="17"/>
  <c r="AC13" i="17"/>
  <c r="AR13" i="17" s="1"/>
  <c r="AA13" i="17"/>
  <c r="AA12" i="17"/>
  <c r="AC12" i="17"/>
  <c r="AR12" i="17" s="1"/>
  <c r="AD11" i="17"/>
  <c r="AK238" i="17"/>
  <c r="AM238" i="17" s="1"/>
  <c r="AN238" i="17" s="1"/>
  <c r="AP235" i="17"/>
  <c r="AU699" i="17"/>
  <c r="AQ699" i="17"/>
  <c r="AP699" i="17"/>
  <c r="AO699" i="17"/>
  <c r="AK699" i="17"/>
  <c r="AM699" i="17" s="1"/>
  <c r="AN699" i="17" s="1"/>
  <c r="AU239" i="17"/>
  <c r="AR239" i="17"/>
  <c r="AQ239" i="17"/>
  <c r="AP239" i="17"/>
  <c r="AO239" i="17"/>
  <c r="AK239" i="17"/>
  <c r="AM239" i="17" s="1"/>
  <c r="AN239" i="17" s="1"/>
  <c r="AU238" i="17"/>
  <c r="AR238" i="17"/>
  <c r="AQ238" i="17"/>
  <c r="AO238" i="17"/>
  <c r="AU237" i="17"/>
  <c r="AR237" i="17"/>
  <c r="AQ237" i="17"/>
  <c r="AP237" i="17"/>
  <c r="AO237" i="17"/>
  <c r="AK237" i="17"/>
  <c r="AU236" i="17"/>
  <c r="AR236" i="17"/>
  <c r="AQ236" i="17"/>
  <c r="AP236" i="17"/>
  <c r="AO236" i="17"/>
  <c r="AK236" i="17"/>
  <c r="AK233" i="17"/>
  <c r="AM233" i="17" s="1"/>
  <c r="AN233" i="17" s="1"/>
  <c r="AK230" i="17"/>
  <c r="AM230" i="17" s="1"/>
  <c r="AN230" i="17" s="1"/>
  <c r="AU218" i="17"/>
  <c r="AO218" i="17"/>
  <c r="AU40" i="17"/>
  <c r="AR40" i="17"/>
  <c r="AO40" i="17"/>
  <c r="AK40" i="17"/>
  <c r="AM40" i="17" s="1"/>
  <c r="AN40" i="17" s="1"/>
  <c r="AP40" i="17"/>
  <c r="AU39" i="17"/>
  <c r="AQ39" i="17"/>
  <c r="AP39" i="17"/>
  <c r="AO39" i="17"/>
  <c r="AU25" i="17"/>
  <c r="AQ25" i="17"/>
  <c r="AP25" i="17"/>
  <c r="AO25" i="17"/>
  <c r="AK25" i="17"/>
  <c r="AU72" i="17"/>
  <c r="AQ72" i="17"/>
  <c r="AP72" i="17"/>
  <c r="AO72" i="17"/>
  <c r="AK72" i="17"/>
  <c r="AM72" i="17" s="1"/>
  <c r="AN72" i="17" s="1"/>
  <c r="AU73" i="17"/>
  <c r="AQ73" i="17"/>
  <c r="AO73" i="17"/>
  <c r="AK69" i="17"/>
  <c r="AL69" i="17" s="1"/>
  <c r="AU69" i="17"/>
  <c r="AQ69" i="17"/>
  <c r="AP227" i="17"/>
  <c r="AP225" i="17"/>
  <c r="AP222" i="17"/>
  <c r="AK221" i="17"/>
  <c r="AM221" i="17" s="1"/>
  <c r="AN221" i="17" s="1"/>
  <c r="AK219" i="17"/>
  <c r="AM219" i="17" s="1"/>
  <c r="AN219" i="17" s="1"/>
  <c r="AK216" i="17"/>
  <c r="AP213" i="17"/>
  <c r="AU235" i="17"/>
  <c r="AR235" i="17"/>
  <c r="AQ235" i="17"/>
  <c r="AO235" i="17"/>
  <c r="AU234" i="17"/>
  <c r="AR234" i="17"/>
  <c r="AQ234" i="17"/>
  <c r="AP234" i="17"/>
  <c r="AO234" i="17"/>
  <c r="AK234" i="17"/>
  <c r="AL234" i="17" s="1"/>
  <c r="AU233" i="17"/>
  <c r="AR233" i="17"/>
  <c r="AQ233" i="17"/>
  <c r="AP233" i="17"/>
  <c r="AO233" i="17"/>
  <c r="AU232" i="17"/>
  <c r="AP232" i="17"/>
  <c r="AO232" i="17"/>
  <c r="AK232" i="17"/>
  <c r="AL232" i="17" s="1"/>
  <c r="AU231" i="17"/>
  <c r="AQ231" i="17"/>
  <c r="AP231" i="17"/>
  <c r="AO231" i="17"/>
  <c r="AU230" i="17"/>
  <c r="AQ230" i="17"/>
  <c r="AP230" i="17"/>
  <c r="AO230" i="17"/>
  <c r="AU229" i="17"/>
  <c r="AQ229" i="17"/>
  <c r="AO229" i="17"/>
  <c r="AK229" i="17"/>
  <c r="AL229" i="17" s="1"/>
  <c r="AU228" i="17"/>
  <c r="AQ228" i="17"/>
  <c r="AP228" i="17"/>
  <c r="AO228" i="17"/>
  <c r="AK228" i="17"/>
  <c r="AM228" i="17" s="1"/>
  <c r="AN228" i="17" s="1"/>
  <c r="AQ227" i="17"/>
  <c r="AO227" i="17"/>
  <c r="AU226" i="17"/>
  <c r="AP226" i="17"/>
  <c r="AO226" i="17"/>
  <c r="AK226" i="17"/>
  <c r="AM226" i="17" s="1"/>
  <c r="AN226" i="17" s="1"/>
  <c r="AU225" i="17"/>
  <c r="AR225" i="17"/>
  <c r="AQ225" i="17"/>
  <c r="AO225" i="17"/>
  <c r="AK225" i="17"/>
  <c r="AL225" i="17" s="1"/>
  <c r="AU224" i="17"/>
  <c r="AQ224" i="17"/>
  <c r="AP224" i="17"/>
  <c r="AK224" i="17"/>
  <c r="AL224" i="17" s="1"/>
  <c r="AU223" i="17"/>
  <c r="AQ223" i="17"/>
  <c r="AP223" i="17"/>
  <c r="AO223" i="17"/>
  <c r="AQ222" i="17"/>
  <c r="AO222" i="17"/>
  <c r="AU221" i="17"/>
  <c r="AQ221" i="17"/>
  <c r="AO221" i="17"/>
  <c r="AU219" i="17"/>
  <c r="AQ219" i="17"/>
  <c r="AP219" i="17"/>
  <c r="AO219" i="17"/>
  <c r="AU217" i="17"/>
  <c r="AQ217" i="17"/>
  <c r="AP217" i="17"/>
  <c r="AO217" i="17"/>
  <c r="AQ216" i="17"/>
  <c r="AO216" i="17"/>
  <c r="AU215" i="17"/>
  <c r="AQ215" i="17"/>
  <c r="AP215" i="17"/>
  <c r="AO215" i="17"/>
  <c r="AK215" i="17"/>
  <c r="AM215" i="17" s="1"/>
  <c r="AN215" i="17" s="1"/>
  <c r="AU214" i="17"/>
  <c r="AQ214" i="17"/>
  <c r="AP214" i="17"/>
  <c r="AO214" i="17"/>
  <c r="AU213" i="17"/>
  <c r="AO213" i="17"/>
  <c r="AU212" i="17"/>
  <c r="AQ212" i="17"/>
  <c r="AP212" i="17"/>
  <c r="AO212" i="17"/>
  <c r="AK212" i="17"/>
  <c r="AL212" i="17" s="1"/>
  <c r="AU211" i="17"/>
  <c r="AQ211" i="17"/>
  <c r="AP211" i="17"/>
  <c r="AO211" i="17"/>
  <c r="AK211" i="17"/>
  <c r="AM211" i="17" s="1"/>
  <c r="AN211" i="17" s="1"/>
  <c r="AU210" i="17"/>
  <c r="AQ210" i="17"/>
  <c r="AP210" i="17"/>
  <c r="AO210" i="17"/>
  <c r="AK210" i="17"/>
  <c r="AL210" i="17" s="1"/>
  <c r="AP69" i="17"/>
  <c r="AU216" i="17"/>
  <c r="AP216" i="17"/>
  <c r="AK213" i="17"/>
  <c r="AL213" i="17" s="1"/>
  <c r="AL239" i="17"/>
  <c r="AP238" i="17"/>
  <c r="AK235" i="17"/>
  <c r="AM235" i="17" s="1"/>
  <c r="AN235" i="17" s="1"/>
  <c r="AU222" i="17"/>
  <c r="AK227" i="17"/>
  <c r="AK217" i="17"/>
  <c r="AM217" i="17" s="1"/>
  <c r="AN217" i="17" s="1"/>
  <c r="AL238" i="17"/>
  <c r="AP221" i="17"/>
  <c r="AU227" i="17"/>
  <c r="AK222" i="17"/>
  <c r="AM222" i="17" s="1"/>
  <c r="AN222" i="17" s="1"/>
  <c r="AM232" i="17"/>
  <c r="AN232" i="17" s="1"/>
  <c r="AK218" i="17"/>
  <c r="AL218" i="17" s="1"/>
  <c r="AL39" i="17"/>
  <c r="AL228" i="17"/>
  <c r="AU59" i="17"/>
  <c r="AQ59" i="17"/>
  <c r="AP59" i="17"/>
  <c r="AO59" i="17"/>
  <c r="AK59" i="17"/>
  <c r="AM59" i="17" s="1"/>
  <c r="AN59" i="17" s="1"/>
  <c r="AL235" i="17"/>
  <c r="AU209" i="17"/>
  <c r="AQ209" i="17"/>
  <c r="AP209" i="17"/>
  <c r="AO209" i="17"/>
  <c r="AU208" i="17"/>
  <c r="AQ208" i="17"/>
  <c r="AP208" i="17"/>
  <c r="AO208" i="17"/>
  <c r="AK208" i="17"/>
  <c r="AL208" i="17" s="1"/>
  <c r="AU207" i="17"/>
  <c r="AP207" i="17"/>
  <c r="AO207" i="17"/>
  <c r="AK207" i="17"/>
  <c r="AM207" i="17" s="1"/>
  <c r="AN207" i="17" s="1"/>
  <c r="AU206" i="17"/>
  <c r="AQ206" i="17"/>
  <c r="AP206" i="17"/>
  <c r="AO206" i="17"/>
  <c r="AU80" i="17"/>
  <c r="AR80" i="17"/>
  <c r="AP80" i="17"/>
  <c r="AO80" i="17"/>
  <c r="AK80" i="17"/>
  <c r="AM80" i="17" s="1"/>
  <c r="AN80" i="17" s="1"/>
  <c r="AU79" i="17"/>
  <c r="AQ79" i="17"/>
  <c r="AP79" i="17"/>
  <c r="AO79" i="17"/>
  <c r="AK79" i="17"/>
  <c r="AM79" i="17" s="1"/>
  <c r="AN79" i="17" s="1"/>
  <c r="AU78" i="17"/>
  <c r="AQ78" i="17"/>
  <c r="AP78" i="17"/>
  <c r="AO78" i="17"/>
  <c r="AU77" i="17"/>
  <c r="AQ77" i="17"/>
  <c r="AP77" i="17"/>
  <c r="AO77" i="17"/>
  <c r="AK77" i="17"/>
  <c r="AM77" i="17" s="1"/>
  <c r="AN77" i="17" s="1"/>
  <c r="AU76" i="17"/>
  <c r="AR76" i="17"/>
  <c r="AP76" i="17"/>
  <c r="AO76" i="17"/>
  <c r="AK76" i="17"/>
  <c r="AM76" i="17" s="1"/>
  <c r="AN76" i="17" s="1"/>
  <c r="AU75" i="17"/>
  <c r="AQ75" i="17"/>
  <c r="AP75" i="17"/>
  <c r="AK75" i="17"/>
  <c r="AM75" i="17" s="1"/>
  <c r="AN75" i="17" s="1"/>
  <c r="AU74" i="17"/>
  <c r="AQ74" i="17"/>
  <c r="AP74" i="17"/>
  <c r="AO74" i="17"/>
  <c r="AK74" i="17"/>
  <c r="AM74" i="17" s="1"/>
  <c r="AN74" i="17" s="1"/>
  <c r="AU71" i="17"/>
  <c r="AQ71" i="17"/>
  <c r="AP71" i="17"/>
  <c r="AO71" i="17"/>
  <c r="AK71" i="17"/>
  <c r="AL71" i="17" s="1"/>
  <c r="AU70" i="17"/>
  <c r="AQ70" i="17"/>
  <c r="AP70" i="17"/>
  <c r="AK70" i="17"/>
  <c r="AM70" i="17" s="1"/>
  <c r="AN70" i="17" s="1"/>
  <c r="AU68" i="17"/>
  <c r="AQ68" i="17"/>
  <c r="AP68" i="17"/>
  <c r="AO68" i="17"/>
  <c r="AK68" i="17"/>
  <c r="AL68" i="17" s="1"/>
  <c r="AU67" i="17"/>
  <c r="AP67" i="17"/>
  <c r="AO67" i="17"/>
  <c r="AK67" i="17"/>
  <c r="AM67" i="17" s="1"/>
  <c r="AN67" i="17" s="1"/>
  <c r="AU66" i="17"/>
  <c r="AQ66" i="17"/>
  <c r="AP66" i="17"/>
  <c r="AO66" i="17"/>
  <c r="AU65" i="17"/>
  <c r="AQ65" i="17"/>
  <c r="AP65" i="17"/>
  <c r="AO65" i="17"/>
  <c r="AK65" i="17"/>
  <c r="AM65" i="17" s="1"/>
  <c r="AN65" i="17" s="1"/>
  <c r="AU63" i="17"/>
  <c r="AQ63" i="17"/>
  <c r="AP63" i="17"/>
  <c r="AO63" i="17"/>
  <c r="AU62" i="17"/>
  <c r="AQ62" i="17"/>
  <c r="AP62" i="17"/>
  <c r="AO62" i="17"/>
  <c r="AU60" i="17"/>
  <c r="AQ60" i="17"/>
  <c r="AP60" i="17"/>
  <c r="AO60" i="17"/>
  <c r="AK60" i="17"/>
  <c r="AM60" i="17" s="1"/>
  <c r="AN60" i="17" s="1"/>
  <c r="AU58" i="17"/>
  <c r="AQ58" i="17"/>
  <c r="AP58" i="17"/>
  <c r="AO58" i="17"/>
  <c r="AU57" i="17"/>
  <c r="AQ57" i="17"/>
  <c r="AP57" i="17"/>
  <c r="AO57" i="17"/>
  <c r="AK57" i="17"/>
  <c r="AL57" i="17" s="1"/>
  <c r="AK62" i="17"/>
  <c r="AL62" i="17" s="1"/>
  <c r="AK63" i="17"/>
  <c r="AL63" i="17" s="1"/>
  <c r="AM68" i="17"/>
  <c r="AN68" i="17" s="1"/>
  <c r="AU35" i="17"/>
  <c r="AQ35" i="17"/>
  <c r="AO35" i="17"/>
  <c r="AU56" i="17"/>
  <c r="AQ56" i="17"/>
  <c r="AP56" i="17"/>
  <c r="AO56" i="17"/>
  <c r="AK56" i="17"/>
  <c r="AM56" i="17" s="1"/>
  <c r="AN56" i="17" s="1"/>
  <c r="AU53" i="17"/>
  <c r="AQ53" i="17"/>
  <c r="AU52" i="17"/>
  <c r="AQ52" i="17"/>
  <c r="AP52" i="17"/>
  <c r="AO52" i="17"/>
  <c r="AK52" i="17"/>
  <c r="AM52" i="17" s="1"/>
  <c r="AN52" i="17" s="1"/>
  <c r="AU49" i="17"/>
  <c r="AQ49" i="17"/>
  <c r="AP49" i="17"/>
  <c r="AO49" i="17"/>
  <c r="AK49" i="17"/>
  <c r="AM49" i="17" s="1"/>
  <c r="AN49" i="17" s="1"/>
  <c r="AU47" i="17"/>
  <c r="AQ47" i="17"/>
  <c r="AP47" i="17"/>
  <c r="AK47" i="17"/>
  <c r="AM47" i="17" s="1"/>
  <c r="AN47" i="17" s="1"/>
  <c r="AU46" i="17"/>
  <c r="AQ46" i="17"/>
  <c r="AO46" i="17"/>
  <c r="AU45" i="17"/>
  <c r="AQ45" i="17"/>
  <c r="AP45" i="17"/>
  <c r="AO45" i="17"/>
  <c r="AK45" i="17"/>
  <c r="AL45" i="17" s="1"/>
  <c r="AU44" i="17"/>
  <c r="AQ44" i="17"/>
  <c r="AP44" i="17"/>
  <c r="AO44" i="17"/>
  <c r="AK44" i="17"/>
  <c r="AM44" i="17" s="1"/>
  <c r="AN44" i="17" s="1"/>
  <c r="AU42" i="17"/>
  <c r="AQ42" i="17"/>
  <c r="AP42" i="17"/>
  <c r="AO42" i="17"/>
  <c r="AK42" i="17"/>
  <c r="AM42" i="17" s="1"/>
  <c r="AN42" i="17" s="1"/>
  <c r="AU41" i="17"/>
  <c r="AQ41" i="17"/>
  <c r="AP41" i="17"/>
  <c r="AK41" i="17"/>
  <c r="AM41" i="17" s="1"/>
  <c r="AN41" i="17" s="1"/>
  <c r="AU38" i="17"/>
  <c r="AQ38" i="17"/>
  <c r="AP38" i="17"/>
  <c r="AO38" i="17"/>
  <c r="AK38" i="17"/>
  <c r="AL38" i="17" s="1"/>
  <c r="AU37" i="17"/>
  <c r="AP37" i="17"/>
  <c r="AO37" i="17"/>
  <c r="AK37" i="17"/>
  <c r="AL37" i="17" s="1"/>
  <c r="AU36" i="17"/>
  <c r="AQ36" i="17"/>
  <c r="AP36" i="17"/>
  <c r="AO36" i="17"/>
  <c r="AU34" i="17"/>
  <c r="AQ34" i="17"/>
  <c r="AP34" i="17"/>
  <c r="AO34" i="17"/>
  <c r="AK34" i="17"/>
  <c r="AM34" i="17" s="1"/>
  <c r="AN34" i="17" s="1"/>
  <c r="AU33" i="17"/>
  <c r="AQ33" i="17"/>
  <c r="AP33" i="17"/>
  <c r="AO33" i="17"/>
  <c r="AK33" i="17"/>
  <c r="AM33" i="17" s="1"/>
  <c r="AN33" i="17" s="1"/>
  <c r="AU32" i="17"/>
  <c r="AQ32" i="17"/>
  <c r="AP32" i="17"/>
  <c r="AO32" i="17"/>
  <c r="AK32" i="17"/>
  <c r="AL32" i="17" s="1"/>
  <c r="AU31" i="17"/>
  <c r="AQ31" i="17"/>
  <c r="AP31" i="17"/>
  <c r="AO31" i="17"/>
  <c r="AU29" i="17"/>
  <c r="AQ29" i="17"/>
  <c r="AP29" i="17"/>
  <c r="AO29" i="17"/>
  <c r="AU28" i="17"/>
  <c r="AQ28" i="17"/>
  <c r="AP28" i="17"/>
  <c r="AO28" i="17"/>
  <c r="AK28" i="17"/>
  <c r="AM28" i="17" s="1"/>
  <c r="AN28" i="17" s="1"/>
  <c r="AU27" i="17"/>
  <c r="AQ27" i="17"/>
  <c r="AP27" i="17"/>
  <c r="AO27" i="17"/>
  <c r="AK27" i="17"/>
  <c r="AM27" i="17" s="1"/>
  <c r="AN27" i="17" s="1"/>
  <c r="AU26" i="17"/>
  <c r="AQ26" i="17"/>
  <c r="AP26" i="17"/>
  <c r="AO26" i="17"/>
  <c r="AK26" i="17"/>
  <c r="AM26" i="17" s="1"/>
  <c r="AN26" i="17" s="1"/>
  <c r="AU24" i="17"/>
  <c r="AQ24" i="17"/>
  <c r="AP24" i="17"/>
  <c r="AO24" i="17"/>
  <c r="AK24" i="17"/>
  <c r="AM24" i="17" s="1"/>
  <c r="AN24" i="17" s="1"/>
  <c r="AU23" i="17"/>
  <c r="AQ23" i="17"/>
  <c r="AP23" i="17"/>
  <c r="AO23" i="17"/>
  <c r="AK23" i="17"/>
  <c r="AM23" i="17" s="1"/>
  <c r="AN23" i="17" s="1"/>
  <c r="AK29" i="17"/>
  <c r="AL29" i="17" s="1"/>
  <c r="AK31" i="17"/>
  <c r="AM31" i="17" s="1"/>
  <c r="AN31" i="17" s="1"/>
  <c r="AU13" i="17"/>
  <c r="AQ13" i="17"/>
  <c r="AP13" i="17"/>
  <c r="AO13" i="17"/>
  <c r="AK13" i="17"/>
  <c r="AL13" i="17" s="1"/>
  <c r="AP12" i="17"/>
  <c r="AU12" i="17"/>
  <c r="AQ12" i="17"/>
  <c r="AO12" i="17"/>
  <c r="AK12" i="17"/>
  <c r="AL12" i="17" s="1"/>
  <c r="AK11" i="17"/>
  <c r="AM11" i="17" s="1"/>
  <c r="AN11" i="17" s="1"/>
  <c r="AU11" i="17"/>
  <c r="AQ11" i="17"/>
  <c r="AP11" i="17"/>
  <c r="AO11" i="17"/>
  <c r="AU14" i="17"/>
  <c r="AQ14" i="17"/>
  <c r="AO14" i="17"/>
  <c r="AU10" i="17"/>
  <c r="AR10" i="17"/>
  <c r="AQ10" i="17"/>
  <c r="AP10" i="17"/>
  <c r="AO10" i="17"/>
  <c r="AK10" i="17"/>
  <c r="AL10" i="17" s="1"/>
  <c r="AU702" i="17"/>
  <c r="AQ702" i="17"/>
  <c r="AP702" i="17"/>
  <c r="AO702" i="17"/>
  <c r="AK702" i="17"/>
  <c r="AL702" i="17" s="1"/>
  <c r="AU700" i="17"/>
  <c r="AQ700" i="17"/>
  <c r="AP700" i="17"/>
  <c r="AO700" i="17"/>
  <c r="AK700" i="17"/>
  <c r="AM700" i="17" s="1"/>
  <c r="AN700" i="17" s="1"/>
  <c r="AU55" i="17"/>
  <c r="AQ55" i="17"/>
  <c r="AP55" i="17"/>
  <c r="AO55" i="17"/>
  <c r="AK55" i="17"/>
  <c r="AM55" i="17" s="1"/>
  <c r="AN55" i="17" s="1"/>
  <c r="AU54" i="17"/>
  <c r="AQ54" i="17"/>
  <c r="AP54" i="17"/>
  <c r="AO54" i="17"/>
  <c r="AK54" i="17"/>
  <c r="AM54" i="17" s="1"/>
  <c r="AN54" i="17" s="1"/>
  <c r="AU22" i="17"/>
  <c r="AQ22" i="17"/>
  <c r="AP22" i="17"/>
  <c r="AO22" i="17"/>
  <c r="AK22" i="17"/>
  <c r="AL22" i="17" s="1"/>
  <c r="AU21" i="17"/>
  <c r="AQ21" i="17"/>
  <c r="AP21" i="17"/>
  <c r="AO21" i="17"/>
  <c r="AK21" i="17"/>
  <c r="AM21" i="17" s="1"/>
  <c r="AN21" i="17" s="1"/>
  <c r="N86" i="19"/>
  <c r="L86" i="19"/>
  <c r="J86" i="19"/>
  <c r="AK15" i="17"/>
  <c r="AL15" i="17" s="1"/>
  <c r="AO15" i="17"/>
  <c r="AP15" i="17"/>
  <c r="AQ15" i="17"/>
  <c r="AO16" i="17"/>
  <c r="AP16" i="17"/>
  <c r="AQ16" i="17"/>
  <c r="AR16" i="17"/>
  <c r="AO17" i="17"/>
  <c r="AP17" i="17"/>
  <c r="AQ17" i="17"/>
  <c r="AK18" i="17"/>
  <c r="AM18" i="17" s="1"/>
  <c r="AN18" i="17" s="1"/>
  <c r="AO18" i="17"/>
  <c r="AP18" i="17"/>
  <c r="AQ18" i="17"/>
  <c r="AK19" i="17"/>
  <c r="AM19" i="17" s="1"/>
  <c r="AN19" i="17" s="1"/>
  <c r="AO19" i="17"/>
  <c r="AP19" i="17"/>
  <c r="AQ19" i="17"/>
  <c r="AO20" i="17"/>
  <c r="AQ20" i="17"/>
  <c r="AK716" i="17"/>
  <c r="AM716" i="17" s="1"/>
  <c r="AN716" i="17" s="1"/>
  <c r="AO716" i="17"/>
  <c r="AP716" i="17"/>
  <c r="AQ716" i="17"/>
  <c r="AR716" i="17"/>
  <c r="AU716" i="17"/>
  <c r="AU20" i="17"/>
  <c r="AU19" i="17"/>
  <c r="AU18" i="17"/>
  <c r="AU17" i="17"/>
  <c r="AU16" i="17"/>
  <c r="AU15" i="17"/>
  <c r="AK16" i="17"/>
  <c r="AL16" i="17" s="1"/>
  <c r="AK113" i="17" l="1"/>
  <c r="AM113" i="17" s="1"/>
  <c r="AN113" i="17" s="1"/>
  <c r="AL305" i="17"/>
  <c r="AM574" i="17"/>
  <c r="AN574" i="17" s="1"/>
  <c r="AS281" i="17"/>
  <c r="AM43" i="17"/>
  <c r="AN43" i="17" s="1"/>
  <c r="AK53" i="17"/>
  <c r="AM53" i="17" s="1"/>
  <c r="AN53" i="17" s="1"/>
  <c r="AU717" i="17"/>
  <c r="AR228" i="17"/>
  <c r="AL102" i="17"/>
  <c r="AL19" i="17"/>
  <c r="AM218" i="17"/>
  <c r="AN218" i="17" s="1"/>
  <c r="AL219" i="17"/>
  <c r="AP492" i="17"/>
  <c r="AS503" i="17"/>
  <c r="AL594" i="17"/>
  <c r="AM63" i="17"/>
  <c r="AN63" i="17" s="1"/>
  <c r="AL72" i="17"/>
  <c r="AL217" i="17"/>
  <c r="AK73" i="17"/>
  <c r="AL73" i="17" s="1"/>
  <c r="AS276" i="17"/>
  <c r="AM385" i="17"/>
  <c r="AN385" i="17" s="1"/>
  <c r="AS511" i="17"/>
  <c r="AS519" i="17"/>
  <c r="AL179" i="17"/>
  <c r="AM445" i="17"/>
  <c r="AN445" i="17" s="1"/>
  <c r="AL21" i="17"/>
  <c r="AM10" i="17"/>
  <c r="AN10" i="17" s="1"/>
  <c r="AL40" i="17"/>
  <c r="AM247" i="17"/>
  <c r="AN247" i="17" s="1"/>
  <c r="AS286" i="17"/>
  <c r="AS513" i="17"/>
  <c r="AS515" i="17"/>
  <c r="AJ521" i="17"/>
  <c r="AT521" i="17" s="1"/>
  <c r="AL274" i="17"/>
  <c r="AS502" i="17"/>
  <c r="AL56" i="17"/>
  <c r="AR26" i="17"/>
  <c r="AL480" i="17"/>
  <c r="AS510" i="17"/>
  <c r="AL113" i="17"/>
  <c r="AM195" i="17"/>
  <c r="AN195" i="17" s="1"/>
  <c r="AM397" i="17"/>
  <c r="AN397" i="17" s="1"/>
  <c r="AM536" i="17"/>
  <c r="AN536" i="17" s="1"/>
  <c r="AM548" i="17"/>
  <c r="AN548" i="17" s="1"/>
  <c r="AM566" i="17"/>
  <c r="AN566" i="17" s="1"/>
  <c r="AL589" i="17"/>
  <c r="AM658" i="17"/>
  <c r="AN658" i="17" s="1"/>
  <c r="AL52" i="17"/>
  <c r="AR221" i="17"/>
  <c r="AL598" i="17"/>
  <c r="AS260" i="17"/>
  <c r="AS284" i="17"/>
  <c r="AS525" i="17"/>
  <c r="AL335" i="17"/>
  <c r="AM394" i="17"/>
  <c r="AN394" i="17" s="1"/>
  <c r="AL682" i="17"/>
  <c r="AL690" i="17"/>
  <c r="AM453" i="17"/>
  <c r="AN453" i="17" s="1"/>
  <c r="AC19" i="17"/>
  <c r="AR19" i="17" s="1"/>
  <c r="AK78" i="17"/>
  <c r="AC78" i="17"/>
  <c r="AR78" i="17" s="1"/>
  <c r="AC214" i="17"/>
  <c r="AR227" i="17"/>
  <c r="AM491" i="17"/>
  <c r="AN491" i="17" s="1"/>
  <c r="AL491" i="17"/>
  <c r="AC53" i="17"/>
  <c r="AR53" i="17" s="1"/>
  <c r="AR55" i="17"/>
  <c r="AC58" i="17"/>
  <c r="AR58" i="17" s="1"/>
  <c r="AK58" i="17"/>
  <c r="AL58" i="17" s="1"/>
  <c r="AO75" i="17"/>
  <c r="AC75" i="17"/>
  <c r="AR75" i="17" s="1"/>
  <c r="AC212" i="17"/>
  <c r="AR212" i="17" s="1"/>
  <c r="AO241" i="17"/>
  <c r="AK241" i="17"/>
  <c r="AM241" i="17" s="1"/>
  <c r="AN241" i="17" s="1"/>
  <c r="AO461" i="17"/>
  <c r="AK461" i="17"/>
  <c r="AL27" i="17"/>
  <c r="AM227" i="17"/>
  <c r="AN227" i="17" s="1"/>
  <c r="AL227" i="17"/>
  <c r="AO465" i="17"/>
  <c r="AD457" i="17"/>
  <c r="AK457" i="17"/>
  <c r="AC29" i="17"/>
  <c r="AR29" i="17" s="1"/>
  <c r="AC36" i="17"/>
  <c r="AR36" i="17" s="1"/>
  <c r="AC39" i="17"/>
  <c r="AR39" i="17" s="1"/>
  <c r="AC47" i="17"/>
  <c r="AR47" i="17" s="1"/>
  <c r="AC209" i="17"/>
  <c r="AR209" i="17" s="1"/>
  <c r="AK209" i="17"/>
  <c r="AC229" i="17"/>
  <c r="AL250" i="17"/>
  <c r="AM250" i="17"/>
  <c r="AN250" i="17" s="1"/>
  <c r="AL257" i="17"/>
  <c r="AM257" i="17"/>
  <c r="AN257" i="17" s="1"/>
  <c r="AM487" i="17"/>
  <c r="AN487" i="17" s="1"/>
  <c r="AL487" i="17"/>
  <c r="AL498" i="17"/>
  <c r="AM498" i="17"/>
  <c r="AN498" i="17" s="1"/>
  <c r="AM82" i="17"/>
  <c r="AN82" i="17" s="1"/>
  <c r="AL82" i="17"/>
  <c r="AL24" i="17"/>
  <c r="AL74" i="17"/>
  <c r="AL222" i="17"/>
  <c r="AL215" i="17"/>
  <c r="AK231" i="17"/>
  <c r="AC66" i="17"/>
  <c r="AR66" i="17" s="1"/>
  <c r="AK66" i="17"/>
  <c r="AM66" i="17" s="1"/>
  <c r="AN66" i="17" s="1"/>
  <c r="AR213" i="17"/>
  <c r="AC218" i="17"/>
  <c r="AL266" i="17"/>
  <c r="AJ244" i="17"/>
  <c r="AT244" i="17" s="1"/>
  <c r="AS244" i="17"/>
  <c r="AC41" i="17"/>
  <c r="AR41" i="17" s="1"/>
  <c r="AO41" i="17"/>
  <c r="AC70" i="17"/>
  <c r="AR70" i="17" s="1"/>
  <c r="AO70" i="17"/>
  <c r="AL216" i="17"/>
  <c r="AM216" i="17"/>
  <c r="AN216" i="17" s="1"/>
  <c r="AM236" i="17"/>
  <c r="AN236" i="17" s="1"/>
  <c r="AL236" i="17"/>
  <c r="AC211" i="17"/>
  <c r="AR211" i="17" s="1"/>
  <c r="AR223" i="17"/>
  <c r="AR69" i="17"/>
  <c r="AM270" i="17"/>
  <c r="AN270" i="17" s="1"/>
  <c r="AO456" i="17"/>
  <c r="AC463" i="17"/>
  <c r="AR463" i="17" s="1"/>
  <c r="AO492" i="17"/>
  <c r="AL500" i="17"/>
  <c r="AK501" i="17"/>
  <c r="AM501" i="17" s="1"/>
  <c r="AN501" i="17" s="1"/>
  <c r="AK483" i="17"/>
  <c r="AM483" i="17" s="1"/>
  <c r="AN483" i="17" s="1"/>
  <c r="AS251" i="17"/>
  <c r="AS486" i="17"/>
  <c r="AM149" i="17"/>
  <c r="AN149" i="17" s="1"/>
  <c r="AL149" i="17"/>
  <c r="AO174" i="17"/>
  <c r="AK163" i="17"/>
  <c r="AM163" i="17" s="1"/>
  <c r="AN163" i="17" s="1"/>
  <c r="AP163" i="17"/>
  <c r="AK350" i="17"/>
  <c r="AK294" i="17"/>
  <c r="AM294" i="17" s="1"/>
  <c r="AN294" i="17" s="1"/>
  <c r="AK418" i="17"/>
  <c r="AS277" i="17"/>
  <c r="AS285" i="17"/>
  <c r="AS520" i="17"/>
  <c r="AJ508" i="17"/>
  <c r="AT508" i="17" s="1"/>
  <c r="AS521" i="17"/>
  <c r="AK93" i="17"/>
  <c r="AM93" i="17" s="1"/>
  <c r="AN93" i="17" s="1"/>
  <c r="AM301" i="17"/>
  <c r="AN301" i="17" s="1"/>
  <c r="AL301" i="17"/>
  <c r="AK407" i="17"/>
  <c r="AK134" i="17"/>
  <c r="AM134" i="17" s="1"/>
  <c r="AN134" i="17" s="1"/>
  <c r="AO134" i="17"/>
  <c r="AP368" i="17"/>
  <c r="AK368" i="17"/>
  <c r="AM368" i="17" s="1"/>
  <c r="AN368" i="17" s="1"/>
  <c r="AK409" i="17"/>
  <c r="AM409" i="17" s="1"/>
  <c r="AN409" i="17" s="1"/>
  <c r="AP409" i="17"/>
  <c r="AM92" i="17"/>
  <c r="AN92" i="17" s="1"/>
  <c r="AL92" i="17"/>
  <c r="AK90" i="17"/>
  <c r="AP90" i="17"/>
  <c r="AK144" i="17"/>
  <c r="AL144" i="17" s="1"/>
  <c r="AP144" i="17"/>
  <c r="AO182" i="17"/>
  <c r="AK182" i="17"/>
  <c r="AL182" i="17" s="1"/>
  <c r="AL308" i="17"/>
  <c r="AM308" i="17"/>
  <c r="AN308" i="17" s="1"/>
  <c r="AK309" i="17"/>
  <c r="AL309" i="17" s="1"/>
  <c r="AL356" i="17"/>
  <c r="AM356" i="17"/>
  <c r="AN356" i="17" s="1"/>
  <c r="AM403" i="17"/>
  <c r="AN403" i="17" s="1"/>
  <c r="AL403" i="17"/>
  <c r="AM399" i="17"/>
  <c r="AN399" i="17" s="1"/>
  <c r="AL399" i="17"/>
  <c r="AK362" i="17"/>
  <c r="AO362" i="17"/>
  <c r="AC18" i="17"/>
  <c r="AR18" i="17" s="1"/>
  <c r="AC21" i="17"/>
  <c r="AR21" i="17" s="1"/>
  <c r="AC23" i="17"/>
  <c r="AR23" i="17" s="1"/>
  <c r="AC216" i="17"/>
  <c r="AK245" i="17"/>
  <c r="AM245" i="17" s="1"/>
  <c r="AN245" i="17" s="1"/>
  <c r="AM278" i="17"/>
  <c r="AN278" i="17" s="1"/>
  <c r="AK469" i="17"/>
  <c r="AM469" i="17" s="1"/>
  <c r="AN469" i="17" s="1"/>
  <c r="AK514" i="17"/>
  <c r="AK50" i="17"/>
  <c r="AL50" i="17" s="1"/>
  <c r="AS243" i="17"/>
  <c r="AS506" i="17"/>
  <c r="AE483" i="17"/>
  <c r="AJ483" i="17" s="1"/>
  <c r="AT483" i="17" s="1"/>
  <c r="M482" i="17"/>
  <c r="AK81" i="17"/>
  <c r="AL81" i="17" s="1"/>
  <c r="AK110" i="17"/>
  <c r="AM110" i="17" s="1"/>
  <c r="AN110" i="17" s="1"/>
  <c r="AK127" i="17"/>
  <c r="AM127" i="17" s="1"/>
  <c r="AN127" i="17" s="1"/>
  <c r="AK135" i="17"/>
  <c r="AM135" i="17" s="1"/>
  <c r="AN135" i="17" s="1"/>
  <c r="AK136" i="17"/>
  <c r="AM136" i="17" s="1"/>
  <c r="AN136" i="17" s="1"/>
  <c r="AK120" i="17"/>
  <c r="AM120" i="17" s="1"/>
  <c r="AN120" i="17" s="1"/>
  <c r="AK129" i="17"/>
  <c r="AO129" i="17"/>
  <c r="AK156" i="17"/>
  <c r="AL156" i="17" s="1"/>
  <c r="AO183" i="17"/>
  <c r="AK183" i="17"/>
  <c r="AM183" i="17" s="1"/>
  <c r="AN183" i="17" s="1"/>
  <c r="AP192" i="17"/>
  <c r="AK192" i="17"/>
  <c r="AM192" i="17" s="1"/>
  <c r="AN192" i="17" s="1"/>
  <c r="AC457" i="17"/>
  <c r="AK509" i="17"/>
  <c r="AM509" i="17" s="1"/>
  <c r="AN509" i="17" s="1"/>
  <c r="AL518" i="17"/>
  <c r="AL522" i="17"/>
  <c r="AK526" i="17"/>
  <c r="AM526" i="17" s="1"/>
  <c r="AN526" i="17" s="1"/>
  <c r="AL710" i="17"/>
  <c r="AK220" i="17"/>
  <c r="AM220" i="17" s="1"/>
  <c r="AN220" i="17" s="1"/>
  <c r="AS254" i="17"/>
  <c r="AJ263" i="17"/>
  <c r="AT263" i="17" s="1"/>
  <c r="AJ269" i="17"/>
  <c r="AT269" i="17" s="1"/>
  <c r="AJ284" i="17"/>
  <c r="AT284" i="17" s="1"/>
  <c r="AS494" i="17"/>
  <c r="AO103" i="17"/>
  <c r="AK111" i="17"/>
  <c r="AK125" i="17"/>
  <c r="AM125" i="17" s="1"/>
  <c r="AN125" i="17" s="1"/>
  <c r="AK115" i="17"/>
  <c r="AM115" i="17" s="1"/>
  <c r="AN115" i="17" s="1"/>
  <c r="AK155" i="17"/>
  <c r="AM155" i="17" s="1"/>
  <c r="AN155" i="17" s="1"/>
  <c r="AK147" i="17"/>
  <c r="AK189" i="17"/>
  <c r="AO189" i="17"/>
  <c r="AK187" i="17"/>
  <c r="AP187" i="17"/>
  <c r="AP193" i="17"/>
  <c r="AK193" i="17"/>
  <c r="AM193" i="17" s="1"/>
  <c r="AN193" i="17" s="1"/>
  <c r="AL413" i="17"/>
  <c r="AM413" i="17"/>
  <c r="AN413" i="17" s="1"/>
  <c r="AL450" i="17"/>
  <c r="AM450" i="17"/>
  <c r="AN450" i="17" s="1"/>
  <c r="AK459" i="17"/>
  <c r="AL459" i="17" s="1"/>
  <c r="AK462" i="17"/>
  <c r="AM494" i="17"/>
  <c r="AN494" i="17" s="1"/>
  <c r="AL706" i="17"/>
  <c r="AK64" i="17"/>
  <c r="AL64" i="17" s="1"/>
  <c r="AM123" i="17"/>
  <c r="AN123" i="17" s="1"/>
  <c r="AL123" i="17"/>
  <c r="AK170" i="17"/>
  <c r="AP414" i="17"/>
  <c r="AK414" i="17"/>
  <c r="AM414" i="17" s="1"/>
  <c r="AN414" i="17" s="1"/>
  <c r="AJ286" i="17"/>
  <c r="AT286" i="17" s="1"/>
  <c r="AK164" i="17"/>
  <c r="AM164" i="17" s="1"/>
  <c r="AN164" i="17" s="1"/>
  <c r="AO164" i="17"/>
  <c r="AK159" i="17"/>
  <c r="AP159" i="17"/>
  <c r="AP299" i="17"/>
  <c r="AK299" i="17"/>
  <c r="AM299" i="17" s="1"/>
  <c r="AN299" i="17" s="1"/>
  <c r="AO315" i="17"/>
  <c r="AK315" i="17"/>
  <c r="AM315" i="17" s="1"/>
  <c r="AN315" i="17" s="1"/>
  <c r="AO320" i="17"/>
  <c r="AK320" i="17"/>
  <c r="AO323" i="17"/>
  <c r="AK323" i="17"/>
  <c r="AO324" i="17"/>
  <c r="AK324" i="17"/>
  <c r="AO341" i="17"/>
  <c r="AK341" i="17"/>
  <c r="AO369" i="17"/>
  <c r="AK369" i="17"/>
  <c r="AM369" i="17" s="1"/>
  <c r="AN369" i="17" s="1"/>
  <c r="AK376" i="17"/>
  <c r="AM376" i="17" s="1"/>
  <c r="AN376" i="17" s="1"/>
  <c r="AO376" i="17"/>
  <c r="AO395" i="17"/>
  <c r="AK395" i="17"/>
  <c r="AM395" i="17" s="1"/>
  <c r="AN395" i="17" s="1"/>
  <c r="AP398" i="17"/>
  <c r="AK398" i="17"/>
  <c r="AM398" i="17" s="1"/>
  <c r="AN398" i="17" s="1"/>
  <c r="AK412" i="17"/>
  <c r="AM412" i="17" s="1"/>
  <c r="AN412" i="17" s="1"/>
  <c r="AO412" i="17"/>
  <c r="AO426" i="17"/>
  <c r="AK426" i="17"/>
  <c r="AM426" i="17" s="1"/>
  <c r="AN426" i="17" s="1"/>
  <c r="AM430" i="17"/>
  <c r="AN430" i="17" s="1"/>
  <c r="AL430" i="17"/>
  <c r="AO452" i="17"/>
  <c r="AK452" i="17"/>
  <c r="AM452" i="17" s="1"/>
  <c r="AN452" i="17" s="1"/>
  <c r="AP330" i="17"/>
  <c r="AK330" i="17"/>
  <c r="AM330" i="17" s="1"/>
  <c r="AN330" i="17" s="1"/>
  <c r="AO224" i="17"/>
  <c r="AC73" i="17"/>
  <c r="AR73" i="17" s="1"/>
  <c r="AL284" i="17"/>
  <c r="AK466" i="17"/>
  <c r="AL466" i="17" s="1"/>
  <c r="AO508" i="17"/>
  <c r="AK521" i="17"/>
  <c r="AM521" i="17" s="1"/>
  <c r="AN521" i="17" s="1"/>
  <c r="AK525" i="17"/>
  <c r="AM525" i="17" s="1"/>
  <c r="AN525" i="17" s="1"/>
  <c r="AM528" i="17"/>
  <c r="AN528" i="17" s="1"/>
  <c r="AK506" i="17"/>
  <c r="AK516" i="17"/>
  <c r="AP64" i="17"/>
  <c r="AS256" i="17"/>
  <c r="AJ272" i="17"/>
  <c r="AT272" i="17" s="1"/>
  <c r="AJ279" i="17"/>
  <c r="AT279" i="17" s="1"/>
  <c r="AJ287" i="17"/>
  <c r="AT287" i="17" s="1"/>
  <c r="AK87" i="17"/>
  <c r="AM87" i="17" s="1"/>
  <c r="AN87" i="17" s="1"/>
  <c r="AO120" i="17"/>
  <c r="AO130" i="17"/>
  <c r="AO168" i="17"/>
  <c r="AK197" i="17"/>
  <c r="AM351" i="17"/>
  <c r="AN351" i="17" s="1"/>
  <c r="AL586" i="17"/>
  <c r="AM586" i="17"/>
  <c r="AN586" i="17" s="1"/>
  <c r="AP321" i="17"/>
  <c r="AK321" i="17"/>
  <c r="AK202" i="17"/>
  <c r="AM202" i="17" s="1"/>
  <c r="AN202" i="17" s="1"/>
  <c r="AL358" i="17"/>
  <c r="AP381" i="17"/>
  <c r="AP382" i="17"/>
  <c r="AP418" i="17"/>
  <c r="AK442" i="17"/>
  <c r="AL442" i="17" s="1"/>
  <c r="AK439" i="17"/>
  <c r="AM439" i="17" s="1"/>
  <c r="AN439" i="17" s="1"/>
  <c r="AM684" i="17"/>
  <c r="AN684" i="17" s="1"/>
  <c r="AM339" i="17"/>
  <c r="AN339" i="17" s="1"/>
  <c r="AM387" i="17"/>
  <c r="AN387" i="17" s="1"/>
  <c r="AL391" i="17"/>
  <c r="AK400" i="17"/>
  <c r="AK431" i="17"/>
  <c r="AM537" i="17"/>
  <c r="AN537" i="17" s="1"/>
  <c r="AM570" i="17"/>
  <c r="AN570" i="17" s="1"/>
  <c r="AL597" i="17"/>
  <c r="AL624" i="17"/>
  <c r="AL628" i="17"/>
  <c r="AK96" i="17"/>
  <c r="AO696" i="17"/>
  <c r="AO698" i="17"/>
  <c r="AK361" i="17"/>
  <c r="AL361" i="17" s="1"/>
  <c r="AM617" i="17"/>
  <c r="AN617" i="17" s="1"/>
  <c r="AM621" i="17"/>
  <c r="AN621" i="17" s="1"/>
  <c r="AM626" i="17"/>
  <c r="AN626" i="17" s="1"/>
  <c r="AL641" i="17"/>
  <c r="AL644" i="17"/>
  <c r="AM676" i="17"/>
  <c r="AN676" i="17" s="1"/>
  <c r="AK150" i="17"/>
  <c r="AK194" i="17"/>
  <c r="AM194" i="17" s="1"/>
  <c r="AN194" i="17" s="1"/>
  <c r="AK199" i="17"/>
  <c r="AM199" i="17" s="1"/>
  <c r="AN199" i="17" s="1"/>
  <c r="AM363" i="17"/>
  <c r="AN363" i="17" s="1"/>
  <c r="AK345" i="17"/>
  <c r="AL422" i="17"/>
  <c r="AL434" i="17"/>
  <c r="AK547" i="17"/>
  <c r="AL447" i="17"/>
  <c r="AM679" i="17"/>
  <c r="AN679" i="17" s="1"/>
  <c r="AK354" i="17"/>
  <c r="AL354" i="17" s="1"/>
  <c r="AC698" i="17"/>
  <c r="AR698" i="17" s="1"/>
  <c r="AS274" i="17"/>
  <c r="AJ512" i="17"/>
  <c r="AT512" i="17" s="1"/>
  <c r="AJ530" i="17"/>
  <c r="AT530" i="17" s="1"/>
  <c r="AK188" i="17"/>
  <c r="AM188" i="17" s="1"/>
  <c r="AN188" i="17" s="1"/>
  <c r="AM410" i="17"/>
  <c r="AN410" i="17" s="1"/>
  <c r="AK446" i="17"/>
  <c r="AM446" i="17" s="1"/>
  <c r="AN446" i="17" s="1"/>
  <c r="AK448" i="17"/>
  <c r="AM448" i="17" s="1"/>
  <c r="AN448" i="17" s="1"/>
  <c r="AM584" i="17"/>
  <c r="AN584" i="17" s="1"/>
  <c r="AK374" i="17"/>
  <c r="AO443" i="17"/>
  <c r="AL146" i="17"/>
  <c r="AM303" i="17"/>
  <c r="AN303" i="17" s="1"/>
  <c r="AL326" i="17"/>
  <c r="AM406" i="17"/>
  <c r="AN406" i="17" s="1"/>
  <c r="AL412" i="17"/>
  <c r="AL564" i="17"/>
  <c r="AS273" i="17"/>
  <c r="AS278" i="17"/>
  <c r="AL162" i="17"/>
  <c r="AL289" i="17"/>
  <c r="AL349" i="17"/>
  <c r="AL393" i="17"/>
  <c r="AL424" i="17"/>
  <c r="AL557" i="17"/>
  <c r="AL560" i="17"/>
  <c r="AL631" i="17"/>
  <c r="AL660" i="17"/>
  <c r="AK17" i="17"/>
  <c r="AL17" i="17" s="1"/>
  <c r="AL53" i="17"/>
  <c r="AL66" i="17"/>
  <c r="AM234" i="17"/>
  <c r="AN234" i="17" s="1"/>
  <c r="AL211" i="17"/>
  <c r="AR216" i="17"/>
  <c r="AR217" i="17"/>
  <c r="AL241" i="17"/>
  <c r="AR459" i="17"/>
  <c r="AS257" i="17"/>
  <c r="AS268" i="17"/>
  <c r="AS505" i="17"/>
  <c r="AS516" i="17"/>
  <c r="AS526" i="17"/>
  <c r="AS241" i="17"/>
  <c r="AS528" i="17"/>
  <c r="AL116" i="17"/>
  <c r="AL344" i="17"/>
  <c r="AL533" i="17"/>
  <c r="AM546" i="17"/>
  <c r="AN546" i="17" s="1"/>
  <c r="AL585" i="17"/>
  <c r="AL601" i="17"/>
  <c r="AL604" i="17"/>
  <c r="AL632" i="17"/>
  <c r="AL636" i="17"/>
  <c r="AL652" i="17"/>
  <c r="AK35" i="17"/>
  <c r="AL35" i="17" s="1"/>
  <c r="AL221" i="17"/>
  <c r="AL294" i="17"/>
  <c r="AL602" i="17"/>
  <c r="AL606" i="17"/>
  <c r="AM653" i="17"/>
  <c r="AN653" i="17" s="1"/>
  <c r="AM206" i="17"/>
  <c r="AN206" i="17" s="1"/>
  <c r="AK14" i="17"/>
  <c r="AL31" i="17"/>
  <c r="AL47" i="17"/>
  <c r="AL41" i="17"/>
  <c r="AM71" i="17"/>
  <c r="AN71" i="17" s="1"/>
  <c r="AL223" i="17"/>
  <c r="AM485" i="17"/>
  <c r="AN485" i="17" s="1"/>
  <c r="AS259" i="17"/>
  <c r="AS264" i="17"/>
  <c r="AS279" i="17"/>
  <c r="AS488" i="17"/>
  <c r="AS508" i="17"/>
  <c r="AS530" i="17"/>
  <c r="AS490" i="17"/>
  <c r="AM309" i="17"/>
  <c r="AN309" i="17" s="1"/>
  <c r="AM551" i="17"/>
  <c r="AN551" i="17" s="1"/>
  <c r="AL639" i="17"/>
  <c r="AL647" i="17"/>
  <c r="AM661" i="17"/>
  <c r="AN661" i="17" s="1"/>
  <c r="AM666" i="17"/>
  <c r="AN666" i="17" s="1"/>
  <c r="AL77" i="17"/>
  <c r="AL233" i="17"/>
  <c r="AM15" i="17"/>
  <c r="AN15" i="17" s="1"/>
  <c r="AL23" i="17"/>
  <c r="AL26" i="17"/>
  <c r="AM229" i="17"/>
  <c r="AN229" i="17" s="1"/>
  <c r="AR218" i="17"/>
  <c r="AR229" i="17"/>
  <c r="AL458" i="17"/>
  <c r="AL524" i="17"/>
  <c r="AS496" i="17"/>
  <c r="AL88" i="17"/>
  <c r="AL127" i="17"/>
  <c r="AQ717" i="17"/>
  <c r="AP14" i="17"/>
  <c r="AP35" i="17"/>
  <c r="AL34" i="17"/>
  <c r="AM224" i="17"/>
  <c r="AN224" i="17" s="1"/>
  <c r="AL230" i="17"/>
  <c r="AR222" i="17"/>
  <c r="AS271" i="17"/>
  <c r="AS484" i="17"/>
  <c r="AS499" i="17"/>
  <c r="AL107" i="17"/>
  <c r="AL316" i="17"/>
  <c r="AM334" i="17"/>
  <c r="AN334" i="17" s="1"/>
  <c r="AL420" i="17"/>
  <c r="AL593" i="17"/>
  <c r="AL608" i="17"/>
  <c r="AL612" i="17"/>
  <c r="AL616" i="17"/>
  <c r="AM642" i="17"/>
  <c r="AN642" i="17" s="1"/>
  <c r="AL678" i="17"/>
  <c r="AL688" i="17"/>
  <c r="AL694" i="17"/>
  <c r="AM73" i="17"/>
  <c r="AN73" i="17" s="1"/>
  <c r="AL475" i="17"/>
  <c r="AM475" i="17"/>
  <c r="AN475" i="17" s="1"/>
  <c r="AL421" i="17"/>
  <c r="AM421" i="17"/>
  <c r="AN421" i="17" s="1"/>
  <c r="AL44" i="17"/>
  <c r="AM32" i="17"/>
  <c r="AN32" i="17" s="1"/>
  <c r="AM280" i="17"/>
  <c r="AN280" i="17" s="1"/>
  <c r="AL280" i="17"/>
  <c r="AJ509" i="17"/>
  <c r="AT509" i="17" s="1"/>
  <c r="AS509" i="17"/>
  <c r="AS527" i="17"/>
  <c r="AM540" i="17"/>
  <c r="AN540" i="17" s="1"/>
  <c r="AL540" i="17"/>
  <c r="AM582" i="17"/>
  <c r="AN582" i="17" s="1"/>
  <c r="AL582" i="17"/>
  <c r="AL618" i="17"/>
  <c r="AM618" i="17"/>
  <c r="AN618" i="17" s="1"/>
  <c r="AL665" i="17"/>
  <c r="AM665" i="17"/>
  <c r="AN665" i="17" s="1"/>
  <c r="AM249" i="17"/>
  <c r="AN249" i="17" s="1"/>
  <c r="AL249" i="17"/>
  <c r="AJ500" i="17"/>
  <c r="AT500" i="17" s="1"/>
  <c r="AS500" i="17"/>
  <c r="AM702" i="17"/>
  <c r="AN702" i="17" s="1"/>
  <c r="AL11" i="17"/>
  <c r="AL49" i="17"/>
  <c r="AL207" i="17"/>
  <c r="AM208" i="17"/>
  <c r="AN208" i="17" s="1"/>
  <c r="AL214" i="17"/>
  <c r="AM210" i="17"/>
  <c r="AN210" i="17" s="1"/>
  <c r="AM248" i="17"/>
  <c r="AN248" i="17" s="1"/>
  <c r="AL248" i="17"/>
  <c r="AM474" i="17"/>
  <c r="AN474" i="17" s="1"/>
  <c r="AL474" i="17"/>
  <c r="AM100" i="17"/>
  <c r="AN100" i="17" s="1"/>
  <c r="AL100" i="17"/>
  <c r="AM138" i="17"/>
  <c r="AN138" i="17" s="1"/>
  <c r="AL138" i="17"/>
  <c r="AM159" i="17"/>
  <c r="AN159" i="17" s="1"/>
  <c r="AL159" i="17"/>
  <c r="AL288" i="17"/>
  <c r="AM288" i="17"/>
  <c r="AN288" i="17" s="1"/>
  <c r="AM347" i="17"/>
  <c r="AN347" i="17" s="1"/>
  <c r="AL347" i="17"/>
  <c r="AL559" i="17"/>
  <c r="AM559" i="17"/>
  <c r="AN559" i="17" s="1"/>
  <c r="AM565" i="17"/>
  <c r="AN565" i="17" s="1"/>
  <c r="AL565" i="17"/>
  <c r="AM629" i="17"/>
  <c r="AN629" i="17" s="1"/>
  <c r="AL629" i="17"/>
  <c r="AJ504" i="17"/>
  <c r="AT504" i="17" s="1"/>
  <c r="AS504" i="17"/>
  <c r="AL76" i="17"/>
  <c r="AL60" i="17"/>
  <c r="AM213" i="17"/>
  <c r="AN213" i="17" s="1"/>
  <c r="AL699" i="17"/>
  <c r="AM225" i="17"/>
  <c r="AN225" i="17" s="1"/>
  <c r="AM242" i="17"/>
  <c r="AN242" i="17" s="1"/>
  <c r="AL242" i="17"/>
  <c r="AM255" i="17"/>
  <c r="AN255" i="17" s="1"/>
  <c r="AL255" i="17"/>
  <c r="AM265" i="17"/>
  <c r="AN265" i="17" s="1"/>
  <c r="AL265" i="17"/>
  <c r="AM272" i="17"/>
  <c r="AN272" i="17" s="1"/>
  <c r="AL272" i="17"/>
  <c r="AM704" i="17"/>
  <c r="AN704" i="17" s="1"/>
  <c r="AL704" i="17"/>
  <c r="AS497" i="17"/>
  <c r="AJ247" i="17"/>
  <c r="AT247" i="17" s="1"/>
  <c r="AS247" i="17"/>
  <c r="AJ270" i="17"/>
  <c r="AT270" i="17" s="1"/>
  <c r="AS270" i="17"/>
  <c r="AJ282" i="17"/>
  <c r="AT282" i="17" s="1"/>
  <c r="AS282" i="17"/>
  <c r="AJ480" i="17"/>
  <c r="AT480" i="17" s="1"/>
  <c r="AS480" i="17"/>
  <c r="AJ518" i="17"/>
  <c r="AT518" i="17" s="1"/>
  <c r="AS518" i="17"/>
  <c r="AS529" i="17"/>
  <c r="AJ529" i="17"/>
  <c r="AT529" i="17" s="1"/>
  <c r="AL120" i="17"/>
  <c r="AM535" i="17"/>
  <c r="AN535" i="17" s="1"/>
  <c r="AL535" i="17"/>
  <c r="AM669" i="17"/>
  <c r="AN669" i="17" s="1"/>
  <c r="AL669" i="17"/>
  <c r="AP133" i="17"/>
  <c r="AK133" i="17"/>
  <c r="AM237" i="17"/>
  <c r="AN237" i="17" s="1"/>
  <c r="AL237" i="17"/>
  <c r="AM25" i="17"/>
  <c r="AN25" i="17" s="1"/>
  <c r="AL25" i="17"/>
  <c r="AP61" i="17"/>
  <c r="AC61" i="17"/>
  <c r="AR61" i="17" s="1"/>
  <c r="AM286" i="17"/>
  <c r="AN286" i="17" s="1"/>
  <c r="AL286" i="17"/>
  <c r="AM708" i="17"/>
  <c r="AN708" i="17" s="1"/>
  <c r="AL708" i="17"/>
  <c r="AM185" i="17"/>
  <c r="AN185" i="17" s="1"/>
  <c r="AL185" i="17"/>
  <c r="AM637" i="17"/>
  <c r="AN637" i="17" s="1"/>
  <c r="AL637" i="17"/>
  <c r="AM489" i="17"/>
  <c r="AN489" i="17" s="1"/>
  <c r="AL489" i="17"/>
  <c r="AJ523" i="17"/>
  <c r="AT523" i="17" s="1"/>
  <c r="AS523" i="17"/>
  <c r="AM600" i="17"/>
  <c r="AN600" i="17" s="1"/>
  <c r="AL600" i="17"/>
  <c r="AM318" i="17"/>
  <c r="AN318" i="17" s="1"/>
  <c r="AL318" i="17"/>
  <c r="AL700" i="17"/>
  <c r="AM45" i="17"/>
  <c r="AN45" i="17" s="1"/>
  <c r="AL70" i="17"/>
  <c r="AM69" i="17"/>
  <c r="AN69" i="17" s="1"/>
  <c r="AM259" i="17"/>
  <c r="AN259" i="17" s="1"/>
  <c r="AL259" i="17"/>
  <c r="AJ266" i="17"/>
  <c r="AT266" i="17" s="1"/>
  <c r="AS266" i="17"/>
  <c r="AJ492" i="17"/>
  <c r="AT492" i="17" s="1"/>
  <c r="AS492" i="17"/>
  <c r="AM86" i="17"/>
  <c r="AN86" i="17" s="1"/>
  <c r="AL86" i="17"/>
  <c r="AM203" i="17"/>
  <c r="AN203" i="17" s="1"/>
  <c r="AL203" i="17"/>
  <c r="AL54" i="17"/>
  <c r="AL80" i="17"/>
  <c r="AM62" i="17"/>
  <c r="AN62" i="17" s="1"/>
  <c r="AL529" i="17"/>
  <c r="AJ507" i="17"/>
  <c r="AT507" i="17" s="1"/>
  <c r="AS507" i="17"/>
  <c r="AJ514" i="17"/>
  <c r="AT514" i="17" s="1"/>
  <c r="AS514" i="17"/>
  <c r="AM322" i="17"/>
  <c r="AN322" i="17" s="1"/>
  <c r="AL322" i="17"/>
  <c r="AL353" i="17"/>
  <c r="AM353" i="17"/>
  <c r="AN353" i="17" s="1"/>
  <c r="AM620" i="17"/>
  <c r="AN620" i="17" s="1"/>
  <c r="AL620" i="17"/>
  <c r="AM687" i="17"/>
  <c r="AN687" i="17" s="1"/>
  <c r="AL687" i="17"/>
  <c r="AR214" i="17"/>
  <c r="AS267" i="17"/>
  <c r="AR71" i="17"/>
  <c r="AS275" i="17"/>
  <c r="AS283" i="17"/>
  <c r="AS478" i="17"/>
  <c r="AS493" i="17"/>
  <c r="AL125" i="17"/>
  <c r="AL131" i="17"/>
  <c r="AL291" i="17"/>
  <c r="AL378" i="17"/>
  <c r="AM402" i="17"/>
  <c r="AN402" i="17" s="1"/>
  <c r="AL544" i="17"/>
  <c r="AL549" i="17"/>
  <c r="AL561" i="17"/>
  <c r="AL577" i="17"/>
  <c r="AL609" i="17"/>
  <c r="AL625" i="17"/>
  <c r="AL633" i="17"/>
  <c r="AL648" i="17"/>
  <c r="AM650" i="17"/>
  <c r="AN650" i="17" s="1"/>
  <c r="AL663" i="17"/>
  <c r="AL673" i="17"/>
  <c r="AM689" i="17"/>
  <c r="AN689" i="17" s="1"/>
  <c r="AM325" i="17"/>
  <c r="AN325" i="17" s="1"/>
  <c r="AM373" i="17"/>
  <c r="AN373" i="17" s="1"/>
  <c r="AL381" i="17"/>
  <c r="AM575" i="17"/>
  <c r="AN575" i="17" s="1"/>
  <c r="AL588" i="17"/>
  <c r="AL605" i="17"/>
  <c r="AL615" i="17"/>
  <c r="AL664" i="17"/>
  <c r="AL668" i="17"/>
  <c r="AL337" i="17"/>
  <c r="AS245" i="17"/>
  <c r="AS265" i="17"/>
  <c r="AS287" i="17"/>
  <c r="AS253" i="17"/>
  <c r="AJ510" i="17"/>
  <c r="AT510" i="17" s="1"/>
  <c r="AL104" i="17"/>
  <c r="AL118" i="17"/>
  <c r="AL152" i="17"/>
  <c r="AL178" i="17"/>
  <c r="AL455" i="17"/>
  <c r="AL389" i="17"/>
  <c r="AL436" i="17"/>
  <c r="AL545" i="17"/>
  <c r="AL550" i="17"/>
  <c r="AL562" i="17"/>
  <c r="AL578" i="17"/>
  <c r="AL657" i="17"/>
  <c r="AL681" i="17"/>
  <c r="AL346" i="17"/>
  <c r="AL695" i="17"/>
  <c r="AL258" i="17"/>
  <c r="AL268" i="17"/>
  <c r="AL276" i="17"/>
  <c r="AL282" i="17"/>
  <c r="AR458" i="17"/>
  <c r="AS262" i="17"/>
  <c r="AS269" i="17"/>
  <c r="AS517" i="17"/>
  <c r="AS522" i="17"/>
  <c r="AL84" i="17"/>
  <c r="AL94" i="17"/>
  <c r="AL109" i="17"/>
  <c r="AL141" i="17"/>
  <c r="AL183" i="17"/>
  <c r="AL297" i="17"/>
  <c r="AL329" i="17"/>
  <c r="AL333" i="17"/>
  <c r="AL342" i="17"/>
  <c r="AL327" i="17"/>
  <c r="AL414" i="17"/>
  <c r="AL429" i="17"/>
  <c r="AL556" i="17"/>
  <c r="AL580" i="17"/>
  <c r="AL590" i="17"/>
  <c r="AM599" i="17"/>
  <c r="AN599" i="17" s="1"/>
  <c r="AL655" i="17"/>
  <c r="AM340" i="17"/>
  <c r="AN340" i="17" s="1"/>
  <c r="AR56" i="17"/>
  <c r="AL240" i="17"/>
  <c r="AL243" i="17"/>
  <c r="AL256" i="17"/>
  <c r="AL260" i="17"/>
  <c r="AL476" i="17"/>
  <c r="AS512" i="17"/>
  <c r="AS239" i="17"/>
  <c r="AM306" i="17"/>
  <c r="AN306" i="17" s="1"/>
  <c r="AM671" i="17"/>
  <c r="AN671" i="17" s="1"/>
  <c r="AL686" i="17"/>
  <c r="AL696" i="17"/>
  <c r="AM715" i="17"/>
  <c r="AN715" i="17" s="1"/>
  <c r="AR38" i="17"/>
  <c r="AL712" i="17"/>
  <c r="AM30" i="17"/>
  <c r="AN30" i="17" s="1"/>
  <c r="AL30" i="17"/>
  <c r="AR226" i="17"/>
  <c r="AL251" i="17"/>
  <c r="AM251" i="17"/>
  <c r="AN251" i="17" s="1"/>
  <c r="AL716" i="17"/>
  <c r="AL18" i="17"/>
  <c r="AM22" i="17"/>
  <c r="AN22" i="17" s="1"/>
  <c r="AL55" i="17"/>
  <c r="AM12" i="17"/>
  <c r="AN12" i="17" s="1"/>
  <c r="AM13" i="17"/>
  <c r="AN13" i="17" s="1"/>
  <c r="AL42" i="17"/>
  <c r="AM29" i="17"/>
  <c r="AN29" i="17" s="1"/>
  <c r="AM57" i="17"/>
  <c r="AN57" i="17" s="1"/>
  <c r="AL79" i="17"/>
  <c r="AP218" i="17"/>
  <c r="AO30" i="17"/>
  <c r="AL701" i="17"/>
  <c r="AL244" i="17"/>
  <c r="AL252" i="17"/>
  <c r="AL261" i="17"/>
  <c r="AL477" i="17"/>
  <c r="AM277" i="17"/>
  <c r="AN277" i="17" s="1"/>
  <c r="AL277" i="17"/>
  <c r="AM461" i="17"/>
  <c r="AN461" i="17" s="1"/>
  <c r="AL461" i="17"/>
  <c r="AJ240" i="17"/>
  <c r="AT240" i="17" s="1"/>
  <c r="AS240" i="17"/>
  <c r="AM17" i="17"/>
  <c r="AN17" i="17" s="1"/>
  <c r="AL28" i="17"/>
  <c r="AL33" i="17"/>
  <c r="AM36" i="17"/>
  <c r="AN36" i="17" s="1"/>
  <c r="AM37" i="17"/>
  <c r="AN37" i="17" s="1"/>
  <c r="AM38" i="17"/>
  <c r="AN38" i="17" s="1"/>
  <c r="AL75" i="17"/>
  <c r="M20" i="17"/>
  <c r="AL61" i="17"/>
  <c r="AL245" i="17"/>
  <c r="AL253" i="17"/>
  <c r="AL262" i="17"/>
  <c r="AL478" i="17"/>
  <c r="AM275" i="17"/>
  <c r="AN275" i="17" s="1"/>
  <c r="AL275" i="17"/>
  <c r="AL460" i="17"/>
  <c r="AM472" i="17"/>
  <c r="AN472" i="17" s="1"/>
  <c r="AL472" i="17"/>
  <c r="AL504" i="17"/>
  <c r="AM504" i="17"/>
  <c r="AN504" i="17" s="1"/>
  <c r="AL512" i="17"/>
  <c r="AM512" i="17"/>
  <c r="AN512" i="17" s="1"/>
  <c r="AL59" i="17"/>
  <c r="AL226" i="17"/>
  <c r="M46" i="17"/>
  <c r="AL246" i="17"/>
  <c r="AL254" i="17"/>
  <c r="AL263" i="17"/>
  <c r="AL479" i="17"/>
  <c r="AL273" i="17"/>
  <c r="AM273" i="17"/>
  <c r="AN273" i="17" s="1"/>
  <c r="AM287" i="17"/>
  <c r="AN287" i="17" s="1"/>
  <c r="AL287" i="17"/>
  <c r="AM463" i="17"/>
  <c r="AN463" i="17" s="1"/>
  <c r="AL463" i="17"/>
  <c r="AL468" i="17"/>
  <c r="AM16" i="17"/>
  <c r="AN16" i="17" s="1"/>
  <c r="AL67" i="17"/>
  <c r="AM212" i="17"/>
  <c r="AN212" i="17" s="1"/>
  <c r="AM271" i="17"/>
  <c r="AN271" i="17" s="1"/>
  <c r="AL271" i="17"/>
  <c r="AM285" i="17"/>
  <c r="AN285" i="17" s="1"/>
  <c r="AL285" i="17"/>
  <c r="AM506" i="17"/>
  <c r="AN506" i="17" s="1"/>
  <c r="AL506" i="17"/>
  <c r="AM516" i="17"/>
  <c r="AN516" i="17" s="1"/>
  <c r="AL516" i="17"/>
  <c r="AS242" i="17"/>
  <c r="AJ242" i="17"/>
  <c r="AT242" i="17" s="1"/>
  <c r="AL65" i="17"/>
  <c r="AM269" i="17"/>
  <c r="AN269" i="17" s="1"/>
  <c r="AL269" i="17"/>
  <c r="AM283" i="17"/>
  <c r="AN283" i="17" s="1"/>
  <c r="AL283" i="17"/>
  <c r="AM267" i="17"/>
  <c r="AN267" i="17" s="1"/>
  <c r="AL267" i="17"/>
  <c r="AL281" i="17"/>
  <c r="AM281" i="17"/>
  <c r="AN281" i="17" s="1"/>
  <c r="AL496" i="17"/>
  <c r="AM496" i="17"/>
  <c r="AN496" i="17" s="1"/>
  <c r="AM508" i="17"/>
  <c r="AN508" i="17" s="1"/>
  <c r="AL508" i="17"/>
  <c r="AL520" i="17"/>
  <c r="AM520" i="17"/>
  <c r="AN520" i="17" s="1"/>
  <c r="AS238" i="17"/>
  <c r="AJ238" i="17"/>
  <c r="AT238" i="17" s="1"/>
  <c r="AJ258" i="17"/>
  <c r="AT258" i="17" s="1"/>
  <c r="AS258" i="17"/>
  <c r="AL530" i="17"/>
  <c r="AM530" i="17"/>
  <c r="AN530" i="17" s="1"/>
  <c r="AL465" i="17"/>
  <c r="AM465" i="17"/>
  <c r="AN465" i="17" s="1"/>
  <c r="AM279" i="17"/>
  <c r="AN279" i="17" s="1"/>
  <c r="AL279" i="17"/>
  <c r="AL457" i="17"/>
  <c r="AM457" i="17"/>
  <c r="AN457" i="17" s="1"/>
  <c r="AM470" i="17"/>
  <c r="AN470" i="17" s="1"/>
  <c r="AL470" i="17"/>
  <c r="AM502" i="17"/>
  <c r="AN502" i="17" s="1"/>
  <c r="AL502" i="17"/>
  <c r="AM510" i="17"/>
  <c r="AN510" i="17" s="1"/>
  <c r="AL510" i="17"/>
  <c r="AM514" i="17"/>
  <c r="AN514" i="17" s="1"/>
  <c r="AL514" i="17"/>
  <c r="AK456" i="17"/>
  <c r="AP462" i="17"/>
  <c r="AK464" i="17"/>
  <c r="AL467" i="17"/>
  <c r="AM473" i="17"/>
  <c r="AN473" i="17" s="1"/>
  <c r="AM486" i="17"/>
  <c r="AN486" i="17" s="1"/>
  <c r="AL488" i="17"/>
  <c r="AM495" i="17"/>
  <c r="AN495" i="17" s="1"/>
  <c r="AL497" i="17"/>
  <c r="AM503" i="17"/>
  <c r="AN503" i="17" s="1"/>
  <c r="AL505" i="17"/>
  <c r="AM511" i="17"/>
  <c r="AN511" i="17" s="1"/>
  <c r="AL513" i="17"/>
  <c r="AM519" i="17"/>
  <c r="AN519" i="17" s="1"/>
  <c r="AL521" i="17"/>
  <c r="AM527" i="17"/>
  <c r="AN527" i="17" s="1"/>
  <c r="AM703" i="17"/>
  <c r="AN703" i="17" s="1"/>
  <c r="AL705" i="17"/>
  <c r="AM711" i="17"/>
  <c r="AN711" i="17" s="1"/>
  <c r="AM50" i="17"/>
  <c r="AN50" i="17" s="1"/>
  <c r="AM64" i="17"/>
  <c r="AN64" i="17" s="1"/>
  <c r="AJ241" i="17"/>
  <c r="AT241" i="17" s="1"/>
  <c r="AJ502" i="17"/>
  <c r="AT502" i="17" s="1"/>
  <c r="AL164" i="17"/>
  <c r="AM174" i="17"/>
  <c r="AN174" i="17" s="1"/>
  <c r="AL174" i="17"/>
  <c r="AC460" i="17"/>
  <c r="AR460" i="17" s="1"/>
  <c r="AL481" i="17"/>
  <c r="AL490" i="17"/>
  <c r="AL499" i="17"/>
  <c r="AL507" i="17"/>
  <c r="AL515" i="17"/>
  <c r="AL523" i="17"/>
  <c r="AL483" i="17"/>
  <c r="AL707" i="17"/>
  <c r="AK48" i="17"/>
  <c r="AL220" i="17"/>
  <c r="AO50" i="17"/>
  <c r="AK51" i="17"/>
  <c r="AS249" i="17"/>
  <c r="AJ239" i="17"/>
  <c r="AT239" i="17" s="1"/>
  <c r="AJ253" i="17"/>
  <c r="AT253" i="17" s="1"/>
  <c r="AJ274" i="17"/>
  <c r="AT274" i="17" s="1"/>
  <c r="AM129" i="17"/>
  <c r="AN129" i="17" s="1"/>
  <c r="AL129" i="17"/>
  <c r="AL130" i="17"/>
  <c r="AM130" i="17"/>
  <c r="AN130" i="17" s="1"/>
  <c r="AC462" i="17"/>
  <c r="AR462" i="17" s="1"/>
  <c r="AO51" i="17"/>
  <c r="AM168" i="17"/>
  <c r="AN168" i="17" s="1"/>
  <c r="AL168" i="17"/>
  <c r="AO459" i="17"/>
  <c r="AL471" i="17"/>
  <c r="AC461" i="17"/>
  <c r="AR461" i="17" s="1"/>
  <c r="AL484" i="17"/>
  <c r="AL492" i="17"/>
  <c r="AL509" i="17"/>
  <c r="AL517" i="17"/>
  <c r="AL493" i="17"/>
  <c r="AL709" i="17"/>
  <c r="AJ280" i="17"/>
  <c r="AT280" i="17" s="1"/>
  <c r="AM83" i="17"/>
  <c r="AN83" i="17" s="1"/>
  <c r="AL83" i="17"/>
  <c r="AL201" i="17"/>
  <c r="AM201" i="17"/>
  <c r="AN201" i="17" s="1"/>
  <c r="AJ527" i="17"/>
  <c r="AT527" i="17" s="1"/>
  <c r="AM147" i="17"/>
  <c r="AN147" i="17" s="1"/>
  <c r="AL147" i="17"/>
  <c r="AM157" i="17"/>
  <c r="AN157" i="17" s="1"/>
  <c r="AL157" i="17"/>
  <c r="AM81" i="17"/>
  <c r="AN81" i="17" s="1"/>
  <c r="AL87" i="17"/>
  <c r="AM89" i="17"/>
  <c r="AN89" i="17" s="1"/>
  <c r="AL95" i="17"/>
  <c r="AM98" i="17"/>
  <c r="AN98" i="17" s="1"/>
  <c r="AL105" i="17"/>
  <c r="AM204" i="17"/>
  <c r="AN204" i="17" s="1"/>
  <c r="AM112" i="17"/>
  <c r="AN112" i="17" s="1"/>
  <c r="AL119" i="17"/>
  <c r="AM122" i="17"/>
  <c r="AN122" i="17" s="1"/>
  <c r="AL128" i="17"/>
  <c r="AL137" i="17"/>
  <c r="AM139" i="17"/>
  <c r="AN139" i="17" s="1"/>
  <c r="AL142" i="17"/>
  <c r="AL153" i="17"/>
  <c r="AM156" i="17"/>
  <c r="AN156" i="17" s="1"/>
  <c r="AL163" i="17"/>
  <c r="AM165" i="17"/>
  <c r="AN165" i="17" s="1"/>
  <c r="AK172" i="17"/>
  <c r="AL173" i="17"/>
  <c r="AM175" i="17"/>
  <c r="AN175" i="17" s="1"/>
  <c r="AM182" i="17"/>
  <c r="AN182" i="17" s="1"/>
  <c r="AL188" i="17"/>
  <c r="AM190" i="17"/>
  <c r="AN190" i="17" s="1"/>
  <c r="AM198" i="17"/>
  <c r="AN198" i="17" s="1"/>
  <c r="AL295" i="17"/>
  <c r="AM298" i="17"/>
  <c r="AN298" i="17" s="1"/>
  <c r="AL304" i="17"/>
  <c r="AL307" i="17"/>
  <c r="AL310" i="17"/>
  <c r="AL313" i="17"/>
  <c r="AM375" i="17"/>
  <c r="AN375" i="17" s="1"/>
  <c r="AL375" i="17"/>
  <c r="AL376" i="17"/>
  <c r="AP383" i="17"/>
  <c r="AK383" i="17"/>
  <c r="AM646" i="17"/>
  <c r="AN646" i="17" s="1"/>
  <c r="AL646" i="17"/>
  <c r="AK554" i="17"/>
  <c r="AP554" i="17"/>
  <c r="AK558" i="17"/>
  <c r="AP558" i="17"/>
  <c r="AP563" i="17"/>
  <c r="AK563" i="17"/>
  <c r="AP567" i="17"/>
  <c r="AK567" i="17"/>
  <c r="AP576" i="17"/>
  <c r="AK576" i="17"/>
  <c r="AM596" i="17"/>
  <c r="AN596" i="17" s="1"/>
  <c r="AL596" i="17"/>
  <c r="AP607" i="17"/>
  <c r="AK607" i="17"/>
  <c r="AP613" i="17"/>
  <c r="AK613" i="17"/>
  <c r="AP623" i="17"/>
  <c r="AK623" i="17"/>
  <c r="AM640" i="17"/>
  <c r="AN640" i="17" s="1"/>
  <c r="AL640" i="17"/>
  <c r="AP645" i="17"/>
  <c r="AK645" i="17"/>
  <c r="AL649" i="17"/>
  <c r="AM649" i="17"/>
  <c r="AN649" i="17" s="1"/>
  <c r="AK656" i="17"/>
  <c r="AP656" i="17"/>
  <c r="AM674" i="17"/>
  <c r="AN674" i="17" s="1"/>
  <c r="AL674" i="17"/>
  <c r="AO531" i="17"/>
  <c r="AK531" i="17"/>
  <c r="AO539" i="17"/>
  <c r="AK539" i="17"/>
  <c r="AO555" i="17"/>
  <c r="AK555" i="17"/>
  <c r="AO571" i="17"/>
  <c r="AK571" i="17"/>
  <c r="AO579" i="17"/>
  <c r="AK579" i="17"/>
  <c r="AO587" i="17"/>
  <c r="AK587" i="17"/>
  <c r="AO595" i="17"/>
  <c r="AK595" i="17"/>
  <c r="AO603" i="17"/>
  <c r="AK603" i="17"/>
  <c r="AK611" i="17"/>
  <c r="AO611" i="17"/>
  <c r="AK619" i="17"/>
  <c r="AO619" i="17"/>
  <c r="AK627" i="17"/>
  <c r="AO627" i="17"/>
  <c r="AK635" i="17"/>
  <c r="AO635" i="17"/>
  <c r="AK643" i="17"/>
  <c r="AO643" i="17"/>
  <c r="AK651" i="17"/>
  <c r="AO651" i="17"/>
  <c r="AK659" i="17"/>
  <c r="AO659" i="17"/>
  <c r="AK667" i="17"/>
  <c r="AO667" i="17"/>
  <c r="AO675" i="17"/>
  <c r="AK675" i="17"/>
  <c r="AO683" i="17"/>
  <c r="AK683" i="17"/>
  <c r="AO691" i="17"/>
  <c r="AK691" i="17"/>
  <c r="AM319" i="17"/>
  <c r="AN319" i="17" s="1"/>
  <c r="AL319" i="17"/>
  <c r="AM341" i="17"/>
  <c r="AN341" i="17" s="1"/>
  <c r="AL341" i="17"/>
  <c r="AM350" i="17"/>
  <c r="AN350" i="17" s="1"/>
  <c r="AL350" i="17"/>
  <c r="AM396" i="17"/>
  <c r="AN396" i="17" s="1"/>
  <c r="AL396" i="17"/>
  <c r="AL85" i="17"/>
  <c r="AL93" i="17"/>
  <c r="AL103" i="17"/>
  <c r="AC205" i="17"/>
  <c r="AR205" i="17" s="1"/>
  <c r="AL108" i="17"/>
  <c r="AL117" i="17"/>
  <c r="AL126" i="17"/>
  <c r="AL135" i="17"/>
  <c r="AL140" i="17"/>
  <c r="AL151" i="17"/>
  <c r="AL160" i="17"/>
  <c r="AL171" i="17"/>
  <c r="AL186" i="17"/>
  <c r="AL202" i="17"/>
  <c r="AL292" i="17"/>
  <c r="AL302" i="17"/>
  <c r="AM547" i="17"/>
  <c r="AN547" i="17" s="1"/>
  <c r="AL547" i="17"/>
  <c r="AK196" i="17"/>
  <c r="AL311" i="17"/>
  <c r="AL315" i="17"/>
  <c r="AM343" i="17"/>
  <c r="AN343" i="17" s="1"/>
  <c r="AL343" i="17"/>
  <c r="AM365" i="17"/>
  <c r="AN365" i="17" s="1"/>
  <c r="AL365" i="17"/>
  <c r="AM374" i="17"/>
  <c r="AN374" i="17" s="1"/>
  <c r="AL374" i="17"/>
  <c r="AM415" i="17"/>
  <c r="AN415" i="17" s="1"/>
  <c r="AL415" i="17"/>
  <c r="AK167" i="17"/>
  <c r="AP167" i="17"/>
  <c r="AP314" i="17"/>
  <c r="AK314" i="17"/>
  <c r="AP367" i="17"/>
  <c r="AK367" i="17"/>
  <c r="AP408" i="17"/>
  <c r="AK408" i="17"/>
  <c r="AL91" i="17"/>
  <c r="AL101" i="17"/>
  <c r="AK205" i="17"/>
  <c r="AL106" i="17"/>
  <c r="AL124" i="17"/>
  <c r="AL132" i="17"/>
  <c r="AL180" i="17"/>
  <c r="AL148" i="17"/>
  <c r="AL158" i="17"/>
  <c r="AL169" i="17"/>
  <c r="AK176" i="17"/>
  <c r="AL177" i="17"/>
  <c r="AL184" i="17"/>
  <c r="AK191" i="17"/>
  <c r="AL200" i="17"/>
  <c r="AL290" i="17"/>
  <c r="AL300" i="17"/>
  <c r="AM321" i="17"/>
  <c r="AN321" i="17" s="1"/>
  <c r="AL321" i="17"/>
  <c r="AO353" i="17"/>
  <c r="AM366" i="17"/>
  <c r="AN366" i="17" s="1"/>
  <c r="AL366" i="17"/>
  <c r="AK379" i="17"/>
  <c r="AM401" i="17"/>
  <c r="AN401" i="17" s="1"/>
  <c r="AL401" i="17"/>
  <c r="AM407" i="17"/>
  <c r="AN407" i="17" s="1"/>
  <c r="AL407" i="17"/>
  <c r="AM328" i="17"/>
  <c r="AN328" i="17" s="1"/>
  <c r="AL328" i="17"/>
  <c r="AM357" i="17"/>
  <c r="AN357" i="17" s="1"/>
  <c r="AL357" i="17"/>
  <c r="AP317" i="17"/>
  <c r="AK317" i="17"/>
  <c r="AO331" i="17"/>
  <c r="AK331" i="17"/>
  <c r="AL345" i="17"/>
  <c r="AM345" i="17"/>
  <c r="AN345" i="17" s="1"/>
  <c r="AM441" i="17"/>
  <c r="AN441" i="17" s="1"/>
  <c r="AL441" i="17"/>
  <c r="AK121" i="17"/>
  <c r="AP121" i="17"/>
  <c r="AM323" i="17"/>
  <c r="AN323" i="17" s="1"/>
  <c r="AL323" i="17"/>
  <c r="AM336" i="17"/>
  <c r="AN336" i="17" s="1"/>
  <c r="AL336" i="17"/>
  <c r="AM432" i="17"/>
  <c r="AN432" i="17" s="1"/>
  <c r="AL432" i="17"/>
  <c r="AL443" i="17"/>
  <c r="AO416" i="17"/>
  <c r="AK416" i="17"/>
  <c r="AM400" i="17"/>
  <c r="AN400" i="17" s="1"/>
  <c r="AL400" i="17"/>
  <c r="AO405" i="17"/>
  <c r="AK405" i="17"/>
  <c r="AO419" i="17"/>
  <c r="AK419" i="17"/>
  <c r="AM417" i="17"/>
  <c r="AN417" i="17" s="1"/>
  <c r="AL417" i="17"/>
  <c r="AO427" i="17"/>
  <c r="AK427" i="17"/>
  <c r="AM431" i="17"/>
  <c r="AN431" i="17" s="1"/>
  <c r="AL431" i="17"/>
  <c r="AM538" i="17"/>
  <c r="AN538" i="17" s="1"/>
  <c r="AL538" i="17"/>
  <c r="AL583" i="17"/>
  <c r="AM583" i="17"/>
  <c r="AN583" i="17" s="1"/>
  <c r="AM332" i="17"/>
  <c r="AN332" i="17" s="1"/>
  <c r="AL332" i="17"/>
  <c r="AM348" i="17"/>
  <c r="AN348" i="17" s="1"/>
  <c r="AL348" i="17"/>
  <c r="AL355" i="17"/>
  <c r="AM355" i="17"/>
  <c r="AN355" i="17" s="1"/>
  <c r="AM361" i="17"/>
  <c r="AN361" i="17" s="1"/>
  <c r="AO370" i="17"/>
  <c r="AK370" i="17"/>
  <c r="AK372" i="17"/>
  <c r="AP372" i="17"/>
  <c r="AM388" i="17"/>
  <c r="AN388" i="17" s="1"/>
  <c r="AL388" i="17"/>
  <c r="AM404" i="17"/>
  <c r="AN404" i="17" s="1"/>
  <c r="AL404" i="17"/>
  <c r="AM423" i="17"/>
  <c r="AN423" i="17" s="1"/>
  <c r="AL423" i="17"/>
  <c r="AM442" i="17"/>
  <c r="AN442" i="17" s="1"/>
  <c r="AL352" i="17"/>
  <c r="AK360" i="17"/>
  <c r="AM364" i="17"/>
  <c r="AN364" i="17" s="1"/>
  <c r="AL371" i="17"/>
  <c r="AL454" i="17"/>
  <c r="AL384" i="17"/>
  <c r="AL392" i="17"/>
  <c r="AL411" i="17"/>
  <c r="AL438" i="17"/>
  <c r="AL449" i="17"/>
  <c r="AL534" i="17"/>
  <c r="AL543" i="17"/>
  <c r="AM145" i="17"/>
  <c r="AN145" i="17" s="1"/>
  <c r="AL145" i="17"/>
  <c r="AM338" i="17"/>
  <c r="AN338" i="17" s="1"/>
  <c r="AL338" i="17"/>
  <c r="AM672" i="17"/>
  <c r="AN672" i="17" s="1"/>
  <c r="AL672" i="17"/>
  <c r="AM161" i="17"/>
  <c r="AN161" i="17" s="1"/>
  <c r="AL161" i="17"/>
  <c r="AK386" i="17"/>
  <c r="AK440" i="17"/>
  <c r="AK451" i="17"/>
  <c r="AL552" i="17"/>
  <c r="AL568" i="17"/>
  <c r="AL572" i="17"/>
  <c r="AL581" i="17"/>
  <c r="AM693" i="17"/>
  <c r="AN693" i="17" s="1"/>
  <c r="AL693" i="17"/>
  <c r="AL359" i="17"/>
  <c r="AL369" i="17"/>
  <c r="AL377" i="17"/>
  <c r="AL382" i="17"/>
  <c r="AL390" i="17"/>
  <c r="AL398" i="17"/>
  <c r="AL452" i="17"/>
  <c r="AL409" i="17"/>
  <c r="AL425" i="17"/>
  <c r="AL435" i="17"/>
  <c r="AL532" i="17"/>
  <c r="AL541" i="17"/>
  <c r="AL553" i="17"/>
  <c r="AL569" i="17"/>
  <c r="AL573" i="17"/>
  <c r="AO380" i="17"/>
  <c r="AK380" i="17"/>
  <c r="AO437" i="17"/>
  <c r="AK437" i="17"/>
  <c r="AM685" i="17"/>
  <c r="AN685" i="17" s="1"/>
  <c r="AL685" i="17"/>
  <c r="AC697" i="17"/>
  <c r="AR697" i="17" s="1"/>
  <c r="AO697" i="17"/>
  <c r="AK697" i="17"/>
  <c r="AM591" i="17"/>
  <c r="AN591" i="17" s="1"/>
  <c r="AM614" i="17"/>
  <c r="AN614" i="17" s="1"/>
  <c r="AL614" i="17"/>
  <c r="AM630" i="17"/>
  <c r="AN630" i="17" s="1"/>
  <c r="AL630" i="17"/>
  <c r="AM670" i="17"/>
  <c r="AN670" i="17" s="1"/>
  <c r="AL670" i="17"/>
  <c r="AM680" i="17"/>
  <c r="AN680" i="17" s="1"/>
  <c r="AL680" i="17"/>
  <c r="AM296" i="17"/>
  <c r="AN296" i="17" s="1"/>
  <c r="AL296" i="17"/>
  <c r="AM698" i="17"/>
  <c r="AN698" i="17" s="1"/>
  <c r="AL698" i="17"/>
  <c r="AM622" i="17"/>
  <c r="AN622" i="17" s="1"/>
  <c r="AL622" i="17"/>
  <c r="AM638" i="17"/>
  <c r="AN638" i="17" s="1"/>
  <c r="AL638" i="17"/>
  <c r="AM662" i="17"/>
  <c r="AN662" i="17" s="1"/>
  <c r="AL662" i="17"/>
  <c r="AL150" i="17"/>
  <c r="AM150" i="17"/>
  <c r="AN150" i="17" s="1"/>
  <c r="AM154" i="17"/>
  <c r="AN154" i="17" s="1"/>
  <c r="AL154" i="17"/>
  <c r="AM654" i="17"/>
  <c r="AN654" i="17" s="1"/>
  <c r="AL654" i="17"/>
  <c r="AM713" i="17"/>
  <c r="AN713" i="17" s="1"/>
  <c r="AL713" i="17"/>
  <c r="AK114" i="17"/>
  <c r="AK433" i="17"/>
  <c r="AK99" i="17"/>
  <c r="AK166" i="17"/>
  <c r="AL428" i="17"/>
  <c r="AL692" i="17"/>
  <c r="AK97" i="17"/>
  <c r="AL293" i="17"/>
  <c r="AL444" i="17"/>
  <c r="AL677" i="17"/>
  <c r="AL714" i="17"/>
  <c r="AL330" i="17" l="1"/>
  <c r="AL192" i="17"/>
  <c r="AL194" i="17"/>
  <c r="AM144" i="17"/>
  <c r="AN144" i="17" s="1"/>
  <c r="AL199" i="17"/>
  <c r="AM459" i="17"/>
  <c r="AN459" i="17" s="1"/>
  <c r="AM354" i="17"/>
  <c r="AN354" i="17" s="1"/>
  <c r="AL368" i="17"/>
  <c r="AL501" i="17"/>
  <c r="AL439" i="17"/>
  <c r="AL155" i="17"/>
  <c r="AL426" i="17"/>
  <c r="AL525" i="17"/>
  <c r="AL136" i="17"/>
  <c r="AL193" i="17"/>
  <c r="AL115" i="17"/>
  <c r="AL446" i="17"/>
  <c r="AL448" i="17"/>
  <c r="AM58" i="17"/>
  <c r="AN58" i="17" s="1"/>
  <c r="AL299" i="17"/>
  <c r="AS483" i="17"/>
  <c r="AL134" i="17"/>
  <c r="AL110" i="17"/>
  <c r="AL469" i="17"/>
  <c r="AL395" i="17"/>
  <c r="AL526" i="17"/>
  <c r="AM466" i="17"/>
  <c r="AN466" i="17" s="1"/>
  <c r="AM320" i="17"/>
  <c r="AN320" i="17" s="1"/>
  <c r="AL320" i="17"/>
  <c r="AR457" i="17"/>
  <c r="AM231" i="17"/>
  <c r="AN231" i="17" s="1"/>
  <c r="AL231" i="17"/>
  <c r="AM209" i="17"/>
  <c r="AN209" i="17" s="1"/>
  <c r="AL209" i="17"/>
  <c r="AM462" i="17"/>
  <c r="AN462" i="17" s="1"/>
  <c r="AL462" i="17"/>
  <c r="AM111" i="17"/>
  <c r="AN111" i="17" s="1"/>
  <c r="AL111" i="17"/>
  <c r="AL90" i="17"/>
  <c r="AM90" i="17"/>
  <c r="AN90" i="17" s="1"/>
  <c r="AL96" i="17"/>
  <c r="AM96" i="17"/>
  <c r="AN96" i="17" s="1"/>
  <c r="AL197" i="17"/>
  <c r="AM197" i="17"/>
  <c r="AN197" i="17" s="1"/>
  <c r="AL324" i="17"/>
  <c r="AM324" i="17"/>
  <c r="AN324" i="17" s="1"/>
  <c r="AM187" i="17"/>
  <c r="AN187" i="17" s="1"/>
  <c r="AL187" i="17"/>
  <c r="AM362" i="17"/>
  <c r="AN362" i="17" s="1"/>
  <c r="AL362" i="17"/>
  <c r="AM170" i="17"/>
  <c r="AN170" i="17" s="1"/>
  <c r="AL170" i="17"/>
  <c r="AM78" i="17"/>
  <c r="AN78" i="17" s="1"/>
  <c r="AL78" i="17"/>
  <c r="AM189" i="17"/>
  <c r="AN189" i="17" s="1"/>
  <c r="AL189" i="17"/>
  <c r="AE482" i="17"/>
  <c r="AK482" i="17"/>
  <c r="AP482" i="17"/>
  <c r="AM418" i="17"/>
  <c r="AN418" i="17" s="1"/>
  <c r="AL418" i="17"/>
  <c r="AM14" i="17"/>
  <c r="AN14" i="17" s="1"/>
  <c r="AL14" i="17"/>
  <c r="AM35" i="17"/>
  <c r="AN35" i="17" s="1"/>
  <c r="AM133" i="17"/>
  <c r="AN133" i="17" s="1"/>
  <c r="AL133" i="17"/>
  <c r="AL99" i="17"/>
  <c r="AM99" i="17"/>
  <c r="AN99" i="17" s="1"/>
  <c r="AM656" i="17"/>
  <c r="AN656" i="17" s="1"/>
  <c r="AL656" i="17"/>
  <c r="AL360" i="17"/>
  <c r="AM360" i="17"/>
  <c r="AN360" i="17" s="1"/>
  <c r="AM380" i="17"/>
  <c r="AN380" i="17" s="1"/>
  <c r="AL380" i="17"/>
  <c r="AM317" i="17"/>
  <c r="AN317" i="17" s="1"/>
  <c r="AL317" i="17"/>
  <c r="AM643" i="17"/>
  <c r="AN643" i="17" s="1"/>
  <c r="AL643" i="17"/>
  <c r="AM611" i="17"/>
  <c r="AN611" i="17" s="1"/>
  <c r="AL611" i="17"/>
  <c r="AM172" i="17"/>
  <c r="AN172" i="17" s="1"/>
  <c r="AL172" i="17"/>
  <c r="AL51" i="17"/>
  <c r="AM51" i="17"/>
  <c r="AN51" i="17" s="1"/>
  <c r="AM456" i="17"/>
  <c r="AN456" i="17" s="1"/>
  <c r="AL456" i="17"/>
  <c r="AC20" i="17"/>
  <c r="AR20" i="17" s="1"/>
  <c r="AK20" i="17"/>
  <c r="AP20" i="17"/>
  <c r="AL370" i="17"/>
  <c r="AM370" i="17"/>
  <c r="AN370" i="17" s="1"/>
  <c r="AM379" i="17"/>
  <c r="AN379" i="17" s="1"/>
  <c r="AL379" i="17"/>
  <c r="AM627" i="17"/>
  <c r="AN627" i="17" s="1"/>
  <c r="AL627" i="17"/>
  <c r="AM437" i="17"/>
  <c r="AN437" i="17" s="1"/>
  <c r="AL437" i="17"/>
  <c r="AM97" i="17"/>
  <c r="AN97" i="17" s="1"/>
  <c r="AL97" i="17"/>
  <c r="AM416" i="17"/>
  <c r="AN416" i="17" s="1"/>
  <c r="AL416" i="17"/>
  <c r="AM196" i="17"/>
  <c r="AN196" i="17" s="1"/>
  <c r="AL196" i="17"/>
  <c r="AL697" i="17"/>
  <c r="AM697" i="17"/>
  <c r="AN697" i="17" s="1"/>
  <c r="AM419" i="17"/>
  <c r="AN419" i="17" s="1"/>
  <c r="AL419" i="17"/>
  <c r="AM121" i="17"/>
  <c r="AN121" i="17" s="1"/>
  <c r="AL121" i="17"/>
  <c r="AM176" i="17"/>
  <c r="AN176" i="17" s="1"/>
  <c r="AL176" i="17"/>
  <c r="AL314" i="17"/>
  <c r="AM314" i="17"/>
  <c r="AN314" i="17" s="1"/>
  <c r="AM603" i="17"/>
  <c r="AN603" i="17" s="1"/>
  <c r="AL603" i="17"/>
  <c r="AL571" i="17"/>
  <c r="AM571" i="17"/>
  <c r="AN571" i="17" s="1"/>
  <c r="AL166" i="17"/>
  <c r="AM166" i="17"/>
  <c r="AN166" i="17" s="1"/>
  <c r="AL451" i="17"/>
  <c r="AM451" i="17"/>
  <c r="AN451" i="17" s="1"/>
  <c r="AM372" i="17"/>
  <c r="AN372" i="17" s="1"/>
  <c r="AL372" i="17"/>
  <c r="AM205" i="17"/>
  <c r="AN205" i="17" s="1"/>
  <c r="AL205" i="17"/>
  <c r="AM667" i="17"/>
  <c r="AN667" i="17" s="1"/>
  <c r="AL667" i="17"/>
  <c r="AM635" i="17"/>
  <c r="AN635" i="17" s="1"/>
  <c r="AL635" i="17"/>
  <c r="AM558" i="17"/>
  <c r="AN558" i="17" s="1"/>
  <c r="AL558" i="17"/>
  <c r="AL440" i="17"/>
  <c r="AM440" i="17"/>
  <c r="AN440" i="17" s="1"/>
  <c r="AM405" i="17"/>
  <c r="AN405" i="17" s="1"/>
  <c r="AL405" i="17"/>
  <c r="AL691" i="17"/>
  <c r="AM691" i="17"/>
  <c r="AN691" i="17" s="1"/>
  <c r="AM595" i="17"/>
  <c r="AN595" i="17" s="1"/>
  <c r="AL595" i="17"/>
  <c r="AL555" i="17"/>
  <c r="AM555" i="17"/>
  <c r="AN555" i="17" s="1"/>
  <c r="AM623" i="17"/>
  <c r="AN623" i="17" s="1"/>
  <c r="AL623" i="17"/>
  <c r="AM576" i="17"/>
  <c r="AN576" i="17" s="1"/>
  <c r="AL576" i="17"/>
  <c r="AL48" i="17"/>
  <c r="AM48" i="17"/>
  <c r="AN48" i="17" s="1"/>
  <c r="AO717" i="17"/>
  <c r="AL386" i="17"/>
  <c r="AM386" i="17"/>
  <c r="AN386" i="17" s="1"/>
  <c r="AL114" i="17"/>
  <c r="AM114" i="17"/>
  <c r="AN114" i="17" s="1"/>
  <c r="AM427" i="17"/>
  <c r="AN427" i="17" s="1"/>
  <c r="AL427" i="17"/>
  <c r="AM408" i="17"/>
  <c r="AN408" i="17" s="1"/>
  <c r="AL408" i="17"/>
  <c r="AL683" i="17"/>
  <c r="AM683" i="17"/>
  <c r="AN683" i="17" s="1"/>
  <c r="AL587" i="17"/>
  <c r="AM587" i="17"/>
  <c r="AN587" i="17" s="1"/>
  <c r="AM539" i="17"/>
  <c r="AN539" i="17" s="1"/>
  <c r="AL539" i="17"/>
  <c r="AM613" i="17"/>
  <c r="AN613" i="17" s="1"/>
  <c r="AL613" i="17"/>
  <c r="AL567" i="17"/>
  <c r="AM567" i="17"/>
  <c r="AN567" i="17" s="1"/>
  <c r="AL433" i="17"/>
  <c r="AM433" i="17"/>
  <c r="AN433" i="17" s="1"/>
  <c r="AM659" i="17"/>
  <c r="AN659" i="17" s="1"/>
  <c r="AL659" i="17"/>
  <c r="AL554" i="17"/>
  <c r="AM554" i="17"/>
  <c r="AN554" i="17" s="1"/>
  <c r="AL331" i="17"/>
  <c r="AM331" i="17"/>
  <c r="AN331" i="17" s="1"/>
  <c r="AM191" i="17"/>
  <c r="AN191" i="17" s="1"/>
  <c r="AL191" i="17"/>
  <c r="AM651" i="17"/>
  <c r="AN651" i="17" s="1"/>
  <c r="AL651" i="17"/>
  <c r="AM619" i="17"/>
  <c r="AN619" i="17" s="1"/>
  <c r="AL619" i="17"/>
  <c r="AL464" i="17"/>
  <c r="AM464" i="17"/>
  <c r="AN464" i="17" s="1"/>
  <c r="AM167" i="17"/>
  <c r="AN167" i="17" s="1"/>
  <c r="AL167" i="17"/>
  <c r="AM367" i="17"/>
  <c r="AN367" i="17" s="1"/>
  <c r="AL367" i="17"/>
  <c r="AL675" i="17"/>
  <c r="AM675" i="17"/>
  <c r="AN675" i="17" s="1"/>
  <c r="AL579" i="17"/>
  <c r="AM579" i="17"/>
  <c r="AN579" i="17" s="1"/>
  <c r="AM531" i="17"/>
  <c r="AN531" i="17" s="1"/>
  <c r="AL531" i="17"/>
  <c r="AM645" i="17"/>
  <c r="AN645" i="17" s="1"/>
  <c r="AL645" i="17"/>
  <c r="AM607" i="17"/>
  <c r="AN607" i="17" s="1"/>
  <c r="AL607" i="17"/>
  <c r="AL563" i="17"/>
  <c r="AM563" i="17"/>
  <c r="AN563" i="17" s="1"/>
  <c r="AL383" i="17"/>
  <c r="AM383" i="17"/>
  <c r="AN383" i="17" s="1"/>
  <c r="AP46" i="17"/>
  <c r="AK46" i="17"/>
  <c r="AC46" i="17"/>
  <c r="AR46" i="17" s="1"/>
  <c r="AL482" i="17" l="1"/>
  <c r="AM482" i="17"/>
  <c r="AN482" i="17" s="1"/>
  <c r="AJ482" i="17"/>
  <c r="AT482" i="17" s="1"/>
  <c r="AT717" i="17" s="1"/>
  <c r="AS482" i="17"/>
  <c r="AS717" i="17" s="1"/>
  <c r="AM20" i="17"/>
  <c r="AN20" i="17" s="1"/>
  <c r="AL20" i="17"/>
  <c r="AP717" i="17"/>
  <c r="AR717" i="17"/>
  <c r="AL46" i="17"/>
  <c r="AM46" i="17"/>
  <c r="AN46" i="17" s="1"/>
  <c r="AL717" i="17" l="1"/>
  <c r="AN717" i="17"/>
</calcChain>
</file>

<file path=xl/sharedStrings.xml><?xml version="1.0" encoding="utf-8"?>
<sst xmlns="http://schemas.openxmlformats.org/spreadsheetml/2006/main" count="4218" uniqueCount="1188">
  <si>
    <t>Poznámka</t>
  </si>
  <si>
    <t>Rozměry</t>
  </si>
  <si>
    <t>Odečet otvorů</t>
  </si>
  <si>
    <t>Přípočet</t>
  </si>
  <si>
    <t>délka</t>
  </si>
  <si>
    <t>výška</t>
  </si>
  <si>
    <t>tlouš.</t>
  </si>
  <si>
    <t>okna</t>
  </si>
  <si>
    <t>dveře</t>
  </si>
  <si>
    <t>otvory, niky</t>
  </si>
  <si>
    <t>m</t>
  </si>
  <si>
    <t>kus</t>
  </si>
  <si>
    <t>CELKEM</t>
  </si>
  <si>
    <t>Označení ve výkrese</t>
  </si>
  <si>
    <t>Umístění</t>
  </si>
  <si>
    <t>Základní</t>
  </si>
  <si>
    <t>do 100mm</t>
  </si>
  <si>
    <t>do 150mm</t>
  </si>
  <si>
    <t>do 300mm</t>
  </si>
  <si>
    <t>počet</t>
  </si>
  <si>
    <t>plocha</t>
  </si>
  <si>
    <t>objem</t>
  </si>
  <si>
    <r>
      <t>m</t>
    </r>
    <r>
      <rPr>
        <vertAlign val="superscript"/>
        <sz val="9"/>
        <color theme="1"/>
        <rFont val="Calibri"/>
        <family val="2"/>
        <charset val="238"/>
        <scheme val="minor"/>
      </rPr>
      <t>2</t>
    </r>
  </si>
  <si>
    <r>
      <t>m</t>
    </r>
    <r>
      <rPr>
        <vertAlign val="superscript"/>
        <sz val="9"/>
        <color theme="1"/>
        <rFont val="Calibri"/>
        <family val="2"/>
        <charset val="238"/>
        <scheme val="minor"/>
      </rPr>
      <t>3</t>
    </r>
  </si>
  <si>
    <t>typ</t>
  </si>
  <si>
    <t>do 450mm</t>
  </si>
  <si>
    <t>do 600mm</t>
  </si>
  <si>
    <t>do 750mm</t>
  </si>
  <si>
    <t>do 900mm</t>
  </si>
  <si>
    <t>do 0,09m2</t>
  </si>
  <si>
    <t>do 0,25m2</t>
  </si>
  <si>
    <t>do 0,0225m2</t>
  </si>
  <si>
    <t>do 1m2</t>
  </si>
  <si>
    <t>do 4m2</t>
  </si>
  <si>
    <t>přes 4m2</t>
  </si>
  <si>
    <t>plocha /kus</t>
  </si>
  <si>
    <t>objem /kus</t>
  </si>
  <si>
    <t>Zazdívka</t>
  </si>
  <si>
    <t>Skladba</t>
  </si>
  <si>
    <t>Zavázání zdiva</t>
  </si>
  <si>
    <t>Výměry celkem</t>
  </si>
  <si>
    <t>zavázání zdiva, příček</t>
  </si>
  <si>
    <t>do materiálu</t>
  </si>
  <si>
    <t>počet stran</t>
  </si>
  <si>
    <t>odečet</t>
  </si>
  <si>
    <t>přípočet</t>
  </si>
  <si>
    <t>překlady</t>
  </si>
  <si>
    <t>věnce</t>
  </si>
  <si>
    <t>jednostr</t>
  </si>
  <si>
    <t>oboustr.</t>
  </si>
  <si>
    <t>bednění</t>
  </si>
  <si>
    <t>jednostr.</t>
  </si>
  <si>
    <t>Bednění zdi, stěny</t>
  </si>
  <si>
    <t>K - kapsy</t>
  </si>
  <si>
    <t>NS - nerezová spojka</t>
  </si>
  <si>
    <t>CP</t>
  </si>
  <si>
    <t>SK - systémová kotva</t>
  </si>
  <si>
    <t>svislá plocha (vrchlík aj.)</t>
  </si>
  <si>
    <t>vodor. plocha (parapet aj.)</t>
  </si>
  <si>
    <t>odečet přípočet</t>
  </si>
  <si>
    <t>SKLADBY NOVÝCH SVISLÝCH KONSTRUKCÍ</t>
  </si>
  <si>
    <t>Typ</t>
  </si>
  <si>
    <t>Popis</t>
  </si>
  <si>
    <t>Plocha</t>
  </si>
  <si>
    <t>Objem</t>
  </si>
  <si>
    <t>půdorysná délka</t>
  </si>
  <si>
    <t>Půdorysná délka</t>
  </si>
  <si>
    <t>ZAZDÍVKY SVISLÝCH KONSTRUKCÍ</t>
  </si>
  <si>
    <t>Plocha zazdívky</t>
  </si>
  <si>
    <t>Tloušťka ve zdi tl.</t>
  </si>
  <si>
    <t>přes 100mm</t>
  </si>
  <si>
    <t>přes 600mm</t>
  </si>
  <si>
    <t>do 1050mm</t>
  </si>
  <si>
    <t>do 1350mm</t>
  </si>
  <si>
    <t>přes 1350mm</t>
  </si>
  <si>
    <t>přes 150mm na MVC</t>
  </si>
  <si>
    <t>přes 150mm na MC</t>
  </si>
  <si>
    <t>Typ zavázání</t>
  </si>
  <si>
    <t>Tloušťka zdiva</t>
  </si>
  <si>
    <t>cihla plná</t>
  </si>
  <si>
    <t>75mm</t>
  </si>
  <si>
    <t>100mm</t>
  </si>
  <si>
    <t>125mm</t>
  </si>
  <si>
    <t>150mm</t>
  </si>
  <si>
    <t>160mm</t>
  </si>
  <si>
    <t>175mm</t>
  </si>
  <si>
    <t>250mm</t>
  </si>
  <si>
    <t>300mm</t>
  </si>
  <si>
    <t>200mm</t>
  </si>
  <si>
    <t>450mm</t>
  </si>
  <si>
    <t>1xR10/80mm</t>
  </si>
  <si>
    <t>2xR10/80mm</t>
  </si>
  <si>
    <t>DO SVISLÉ KONSTRUKCE</t>
  </si>
  <si>
    <t>Kotvení do stropu</t>
  </si>
  <si>
    <t>nerezová spojka do žlb.</t>
  </si>
  <si>
    <t>DO STROPNÍ KONSTRUKCE</t>
  </si>
  <si>
    <t>50mm</t>
  </si>
  <si>
    <t>LEGENDA:</t>
  </si>
  <si>
    <t>Konstrukce:</t>
  </si>
  <si>
    <t>ZA</t>
  </si>
  <si>
    <t>základy</t>
  </si>
  <si>
    <t>ZDZ</t>
  </si>
  <si>
    <t>zdivo základové</t>
  </si>
  <si>
    <t>ZD</t>
  </si>
  <si>
    <t>zdivo nadzákladové</t>
  </si>
  <si>
    <t>PR</t>
  </si>
  <si>
    <t>příčka</t>
  </si>
  <si>
    <t>PI</t>
  </si>
  <si>
    <t>pilíř</t>
  </si>
  <si>
    <t>ST</t>
  </si>
  <si>
    <t>stěna</t>
  </si>
  <si>
    <t>ZK</t>
  </si>
  <si>
    <t>zdivo komínové nadstřešní</t>
  </si>
  <si>
    <t>OT</t>
  </si>
  <si>
    <t>otvor</t>
  </si>
  <si>
    <t>OTJ</t>
  </si>
  <si>
    <t>otvor z jedné strany</t>
  </si>
  <si>
    <t>SEK</t>
  </si>
  <si>
    <t>přisekání zdiva plošné</t>
  </si>
  <si>
    <t>Materiál:</t>
  </si>
  <si>
    <t>zdivo kamenné</t>
  </si>
  <si>
    <t>ZS</t>
  </si>
  <si>
    <t>zdivo smíšené</t>
  </si>
  <si>
    <t>ZKS</t>
  </si>
  <si>
    <t>zdivo kamenné a smíšené</t>
  </si>
  <si>
    <t>GA</t>
  </si>
  <si>
    <t>drátkokamenných konstrukcí (gabiony)</t>
  </si>
  <si>
    <t>PRCP</t>
  </si>
  <si>
    <t>cihly pálené plné nebo duté - příčkovky</t>
  </si>
  <si>
    <t>PRTV</t>
  </si>
  <si>
    <t>tvárnice pálených nebo nepálených - příčkovky</t>
  </si>
  <si>
    <t>cihly pálené</t>
  </si>
  <si>
    <t>VP</t>
  </si>
  <si>
    <t>cihly vápenopískové</t>
  </si>
  <si>
    <t>CEM</t>
  </si>
  <si>
    <t>zdivo z tvárnic cementových</t>
  </si>
  <si>
    <t>DUT</t>
  </si>
  <si>
    <t>zdivo z dutých cihel nebo tvárnic pálených nebo nepálených</t>
  </si>
  <si>
    <t>CS</t>
  </si>
  <si>
    <t>cihly šamotových</t>
  </si>
  <si>
    <t>ZTB</t>
  </si>
  <si>
    <t>zdivo z tvárnic ztraceného bednění</t>
  </si>
  <si>
    <t>BK</t>
  </si>
  <si>
    <t>beton proložený kamenem</t>
  </si>
  <si>
    <t>BP</t>
  </si>
  <si>
    <t>beton prostý</t>
  </si>
  <si>
    <t>BZ</t>
  </si>
  <si>
    <t>beton železový</t>
  </si>
  <si>
    <t>SKL</t>
  </si>
  <si>
    <t>skleněné tvárnice</t>
  </si>
  <si>
    <t>DES</t>
  </si>
  <si>
    <t>zdivo příčky deskové</t>
  </si>
  <si>
    <t>SAD</t>
  </si>
  <si>
    <t>zdivo příčky sádrové</t>
  </si>
  <si>
    <t>SDK</t>
  </si>
  <si>
    <t>UM</t>
  </si>
  <si>
    <t>příčky umakartové</t>
  </si>
  <si>
    <t>SOL</t>
  </si>
  <si>
    <t>příčky sololitové</t>
  </si>
  <si>
    <t>PLYN</t>
  </si>
  <si>
    <t>zdivo z plynosilikátu, siporexu a ostatních do hmotnosti 500kg/m3</t>
  </si>
  <si>
    <t>PREFA</t>
  </si>
  <si>
    <t>prefa stěnové dílce</t>
  </si>
  <si>
    <t>HER</t>
  </si>
  <si>
    <t>příčky heraklitové, rabicové</t>
  </si>
  <si>
    <t>Malta:</t>
  </si>
  <si>
    <t>MC</t>
  </si>
  <si>
    <t>cementová</t>
  </si>
  <si>
    <t>MVC</t>
  </si>
  <si>
    <t>vápenocementová</t>
  </si>
  <si>
    <t>MV</t>
  </si>
  <si>
    <t>vápenná</t>
  </si>
  <si>
    <t>TM</t>
  </si>
  <si>
    <t>tepelně izolační malta</t>
  </si>
  <si>
    <t>Podchycení:</t>
  </si>
  <si>
    <t>PODP</t>
  </si>
  <si>
    <t>podchycení příček</t>
  </si>
  <si>
    <t>PODZ</t>
  </si>
  <si>
    <t>podchycení zdiva</t>
  </si>
  <si>
    <t>PODS1R</t>
  </si>
  <si>
    <t>podchycení stropu jednořadé</t>
  </si>
  <si>
    <t>PODS2R</t>
  </si>
  <si>
    <t>podchycení stropu dvouřadé</t>
  </si>
  <si>
    <t>REKAPITULACE</t>
  </si>
  <si>
    <t>Č.místnosti</t>
  </si>
  <si>
    <t>podlaží</t>
  </si>
  <si>
    <t>místnost</t>
  </si>
  <si>
    <t>část.místnosti</t>
  </si>
  <si>
    <t>Zavázání:</t>
  </si>
  <si>
    <t>kapsa do zdiva</t>
  </si>
  <si>
    <t>nerezová spojka</t>
  </si>
  <si>
    <t>NS</t>
  </si>
  <si>
    <t>K</t>
  </si>
  <si>
    <t>systémová kotva</t>
  </si>
  <si>
    <t>SK</t>
  </si>
  <si>
    <t>vlepení výztuže 2xR10/80</t>
  </si>
  <si>
    <t>2xR10/80</t>
  </si>
  <si>
    <t>do P10</t>
  </si>
  <si>
    <t>240mm</t>
  </si>
  <si>
    <t>přes 300mm</t>
  </si>
  <si>
    <t>do P15</t>
  </si>
  <si>
    <t>80mm</t>
  </si>
  <si>
    <t>115mm</t>
  </si>
  <si>
    <t>140mm</t>
  </si>
  <si>
    <t>cihla děrovaná</t>
  </si>
  <si>
    <t>beton</t>
  </si>
  <si>
    <t>ZAVÁZÁNÍ ZDIVA, STĚN DO STÁVAJÍCÍ ZDI</t>
  </si>
  <si>
    <t>1NP</t>
  </si>
  <si>
    <t>Z</t>
  </si>
  <si>
    <t>zazdívka</t>
  </si>
  <si>
    <t>POR</t>
  </si>
  <si>
    <t>zdivo porobetonové</t>
  </si>
  <si>
    <t>2NP</t>
  </si>
  <si>
    <t>děrované cihly</t>
  </si>
  <si>
    <t>kamen</t>
  </si>
  <si>
    <t>nepálené tvárnice</t>
  </si>
  <si>
    <t>W1 - porobeton</t>
  </si>
  <si>
    <t>porobeton</t>
  </si>
  <si>
    <t>porobeton.tvár.</t>
  </si>
  <si>
    <t>V1-porobeton</t>
  </si>
  <si>
    <t>příčky sádrokartonové</t>
  </si>
  <si>
    <t>základní penetrace SDK příček</t>
  </si>
  <si>
    <t>základní penetrace SDK předsazených stěn</t>
  </si>
  <si>
    <t>W101</t>
  </si>
  <si>
    <t>W102</t>
  </si>
  <si>
    <t>W103</t>
  </si>
  <si>
    <t>W104</t>
  </si>
  <si>
    <t>W108</t>
  </si>
  <si>
    <t>W109</t>
  </si>
  <si>
    <t>W110</t>
  </si>
  <si>
    <t>W111</t>
  </si>
  <si>
    <t>W112</t>
  </si>
  <si>
    <t>W113</t>
  </si>
  <si>
    <t>W114</t>
  </si>
  <si>
    <t>W115</t>
  </si>
  <si>
    <t>W116</t>
  </si>
  <si>
    <t>W117</t>
  </si>
  <si>
    <t>W118</t>
  </si>
  <si>
    <t>W105</t>
  </si>
  <si>
    <t>W106</t>
  </si>
  <si>
    <t>W107</t>
  </si>
  <si>
    <t>W119</t>
  </si>
  <si>
    <t>W120</t>
  </si>
  <si>
    <t>W121</t>
  </si>
  <si>
    <t>W122</t>
  </si>
  <si>
    <t>W123</t>
  </si>
  <si>
    <t>W124</t>
  </si>
  <si>
    <t>W125</t>
  </si>
  <si>
    <t>W126</t>
  </si>
  <si>
    <t>W127</t>
  </si>
  <si>
    <t>W128</t>
  </si>
  <si>
    <t>W129</t>
  </si>
  <si>
    <t>W130</t>
  </si>
  <si>
    <t>W131</t>
  </si>
  <si>
    <t>W132</t>
  </si>
  <si>
    <t>W133</t>
  </si>
  <si>
    <t>W134</t>
  </si>
  <si>
    <t>W135</t>
  </si>
  <si>
    <t>W136</t>
  </si>
  <si>
    <t>W137</t>
  </si>
  <si>
    <t>W138</t>
  </si>
  <si>
    <t>W139</t>
  </si>
  <si>
    <t>W140</t>
  </si>
  <si>
    <t>W141</t>
  </si>
  <si>
    <t>W142</t>
  </si>
  <si>
    <t>W143</t>
  </si>
  <si>
    <t>W144</t>
  </si>
  <si>
    <t>W145</t>
  </si>
  <si>
    <t>W146</t>
  </si>
  <si>
    <t>W147</t>
  </si>
  <si>
    <t>W148</t>
  </si>
  <si>
    <t>W149</t>
  </si>
  <si>
    <t>W151</t>
  </si>
  <si>
    <t>železobetonová stěna C25/30-XC1</t>
  </si>
  <si>
    <t>C101</t>
  </si>
  <si>
    <t>1</t>
  </si>
  <si>
    <t>2</t>
  </si>
  <si>
    <t>W201</t>
  </si>
  <si>
    <t>W202</t>
  </si>
  <si>
    <t>W203</t>
  </si>
  <si>
    <t>W204</t>
  </si>
  <si>
    <t>W205</t>
  </si>
  <si>
    <t>W206</t>
  </si>
  <si>
    <t>W207</t>
  </si>
  <si>
    <t>W208</t>
  </si>
  <si>
    <t>W209</t>
  </si>
  <si>
    <t>W210</t>
  </si>
  <si>
    <t>W211</t>
  </si>
  <si>
    <t>W212</t>
  </si>
  <si>
    <t>W213</t>
  </si>
  <si>
    <t>W214</t>
  </si>
  <si>
    <t>W215</t>
  </si>
  <si>
    <t>W216</t>
  </si>
  <si>
    <t>W217</t>
  </si>
  <si>
    <t>řez stěnou</t>
  </si>
  <si>
    <t>řez oknem</t>
  </si>
  <si>
    <t>W218</t>
  </si>
  <si>
    <t>W219</t>
  </si>
  <si>
    <t>W220</t>
  </si>
  <si>
    <t>W221</t>
  </si>
  <si>
    <t>W222</t>
  </si>
  <si>
    <t>W223</t>
  </si>
  <si>
    <t>W224</t>
  </si>
  <si>
    <t>W225</t>
  </si>
  <si>
    <t>W226</t>
  </si>
  <si>
    <t>W227</t>
  </si>
  <si>
    <t>W228</t>
  </si>
  <si>
    <t>W229</t>
  </si>
  <si>
    <t>zdivo z keramickcýh bloků Porotherm 24 P+D P10 tl.240mm</t>
  </si>
  <si>
    <t>železobeton C25/30-XC1 do tvárnic ztrac. bednění tl.200mm</t>
  </si>
  <si>
    <t>W230</t>
  </si>
  <si>
    <t>W231</t>
  </si>
  <si>
    <t>W232</t>
  </si>
  <si>
    <t>W233</t>
  </si>
  <si>
    <t>W234</t>
  </si>
  <si>
    <t>W235</t>
  </si>
  <si>
    <t>W236</t>
  </si>
  <si>
    <t>W237</t>
  </si>
  <si>
    <t>W238</t>
  </si>
  <si>
    <t>W239</t>
  </si>
  <si>
    <t>W240</t>
  </si>
  <si>
    <t>W241</t>
  </si>
  <si>
    <t>W242</t>
  </si>
  <si>
    <t>W243</t>
  </si>
  <si>
    <t>W244</t>
  </si>
  <si>
    <t>W245</t>
  </si>
  <si>
    <t>W246</t>
  </si>
  <si>
    <t>PTH 240 P+D</t>
  </si>
  <si>
    <t>TZB 200</t>
  </si>
  <si>
    <t>žlb.sloup</t>
  </si>
  <si>
    <t>žlb.stěna</t>
  </si>
  <si>
    <t>zdivo z keramickcýh bloků Porotherm 17 P+D P10 tl.170mm</t>
  </si>
  <si>
    <t>parapet</t>
  </si>
  <si>
    <t>železobeton C25/30-XC1 do tvárnic ztrac. bednění tl.240mm</t>
  </si>
  <si>
    <t>s11</t>
  </si>
  <si>
    <t>S11</t>
  </si>
  <si>
    <t>S12</t>
  </si>
  <si>
    <t>s12</t>
  </si>
  <si>
    <t>S21</t>
  </si>
  <si>
    <t>s21</t>
  </si>
  <si>
    <t>S31</t>
  </si>
  <si>
    <t>s31</t>
  </si>
  <si>
    <t>S32</t>
  </si>
  <si>
    <t>s32</t>
  </si>
  <si>
    <t>S22</t>
  </si>
  <si>
    <t>s22</t>
  </si>
  <si>
    <t>W247</t>
  </si>
  <si>
    <t>W248</t>
  </si>
  <si>
    <t>W249</t>
  </si>
  <si>
    <t>W250</t>
  </si>
  <si>
    <t>W251</t>
  </si>
  <si>
    <t>W252</t>
  </si>
  <si>
    <t>W253</t>
  </si>
  <si>
    <t>W254</t>
  </si>
  <si>
    <t>W255</t>
  </si>
  <si>
    <t>W256</t>
  </si>
  <si>
    <t>W257</t>
  </si>
  <si>
    <t>W258</t>
  </si>
  <si>
    <t>W259</t>
  </si>
  <si>
    <t>W260</t>
  </si>
  <si>
    <t>S33</t>
  </si>
  <si>
    <t>s33</t>
  </si>
  <si>
    <t>W2421</t>
  </si>
  <si>
    <t>W261</t>
  </si>
  <si>
    <t>W262</t>
  </si>
  <si>
    <t>W263</t>
  </si>
  <si>
    <t>W264</t>
  </si>
  <si>
    <t>W265</t>
  </si>
  <si>
    <t>W266</t>
  </si>
  <si>
    <t>W267</t>
  </si>
  <si>
    <t>W268</t>
  </si>
  <si>
    <t>W269</t>
  </si>
  <si>
    <t>zdivo z keramickcýh bloků Porotherm 19 P+D P10 tl.190mm</t>
  </si>
  <si>
    <t>3NP</t>
  </si>
  <si>
    <t>3</t>
  </si>
  <si>
    <t>W301</t>
  </si>
  <si>
    <t>W302</t>
  </si>
  <si>
    <t>W303</t>
  </si>
  <si>
    <t>W304</t>
  </si>
  <si>
    <t>W305</t>
  </si>
  <si>
    <t>W306</t>
  </si>
  <si>
    <t>W307</t>
  </si>
  <si>
    <t>W308</t>
  </si>
  <si>
    <t>W309</t>
  </si>
  <si>
    <t>W310</t>
  </si>
  <si>
    <t>W311</t>
  </si>
  <si>
    <t>W312</t>
  </si>
  <si>
    <t>W313</t>
  </si>
  <si>
    <t>W314</t>
  </si>
  <si>
    <t>W315</t>
  </si>
  <si>
    <t>W316</t>
  </si>
  <si>
    <t>W317</t>
  </si>
  <si>
    <t>W318</t>
  </si>
  <si>
    <t>W319</t>
  </si>
  <si>
    <t>W320</t>
  </si>
  <si>
    <t>W321</t>
  </si>
  <si>
    <t>W322</t>
  </si>
  <si>
    <t>W323</t>
  </si>
  <si>
    <t>W324</t>
  </si>
  <si>
    <t>W325</t>
  </si>
  <si>
    <t>W326</t>
  </si>
  <si>
    <t>W327</t>
  </si>
  <si>
    <t>W328</t>
  </si>
  <si>
    <t>W329</t>
  </si>
  <si>
    <t>W330</t>
  </si>
  <si>
    <t>W331</t>
  </si>
  <si>
    <t>W332</t>
  </si>
  <si>
    <t>W333</t>
  </si>
  <si>
    <t>W334</t>
  </si>
  <si>
    <t>W335</t>
  </si>
  <si>
    <t>W2491</t>
  </si>
  <si>
    <t>výtah</t>
  </si>
  <si>
    <t>W336</t>
  </si>
  <si>
    <t>W337</t>
  </si>
  <si>
    <t>W338</t>
  </si>
  <si>
    <t>W339</t>
  </si>
  <si>
    <t>W340</t>
  </si>
  <si>
    <t>W341</t>
  </si>
  <si>
    <t>W342</t>
  </si>
  <si>
    <t>W343</t>
  </si>
  <si>
    <t>W344</t>
  </si>
  <si>
    <t>W345</t>
  </si>
  <si>
    <t>W346</t>
  </si>
  <si>
    <t>W347</t>
  </si>
  <si>
    <t>W348</t>
  </si>
  <si>
    <t>W349</t>
  </si>
  <si>
    <t>W350</t>
  </si>
  <si>
    <t>W351</t>
  </si>
  <si>
    <t>W352</t>
  </si>
  <si>
    <t>W353</t>
  </si>
  <si>
    <t>W354</t>
  </si>
  <si>
    <t>W355</t>
  </si>
  <si>
    <t>W356</t>
  </si>
  <si>
    <t>W357</t>
  </si>
  <si>
    <t>W358</t>
  </si>
  <si>
    <t>W359</t>
  </si>
  <si>
    <t>W360</t>
  </si>
  <si>
    <t>W361</t>
  </si>
  <si>
    <t>W362</t>
  </si>
  <si>
    <t>W363</t>
  </si>
  <si>
    <t>W364</t>
  </si>
  <si>
    <t>4</t>
  </si>
  <si>
    <t>atika</t>
  </si>
  <si>
    <t>W401</t>
  </si>
  <si>
    <t>W402</t>
  </si>
  <si>
    <t>W403</t>
  </si>
  <si>
    <t>W404</t>
  </si>
  <si>
    <t>W405</t>
  </si>
  <si>
    <t>W406</t>
  </si>
  <si>
    <t>W407</t>
  </si>
  <si>
    <t>S13</t>
  </si>
  <si>
    <t>s13</t>
  </si>
  <si>
    <t>W408</t>
  </si>
  <si>
    <t>W409</t>
  </si>
  <si>
    <t>W410</t>
  </si>
  <si>
    <t>W411</t>
  </si>
  <si>
    <t>W412</t>
  </si>
  <si>
    <t>W413</t>
  </si>
  <si>
    <t>W414</t>
  </si>
  <si>
    <t>W415</t>
  </si>
  <si>
    <t>W416</t>
  </si>
  <si>
    <t>žlb.stěny - bednění jednostranné</t>
  </si>
  <si>
    <t>žlb.stěny - bednění oboustranné</t>
  </si>
  <si>
    <t>žlb.sloup - bednění</t>
  </si>
  <si>
    <t>žlb.atika - bednění jednostranné</t>
  </si>
  <si>
    <t>žlb.atika - bednění oboustranné</t>
  </si>
  <si>
    <t>Poznámka:</t>
  </si>
  <si>
    <t>železobetonový sloup C30/37-XC1 - 1NP</t>
  </si>
  <si>
    <t>železobetonová stěna C25/30-XC1 - atika střechy</t>
  </si>
  <si>
    <t>A2 - SVISLÉ KONSTRUKCE</t>
  </si>
  <si>
    <t>Označení svislých konstrukcí schematicky ve výkresech SKR, viz.složka rozpočtu "výpočty".</t>
  </si>
  <si>
    <t>W1241</t>
  </si>
  <si>
    <t>W1271</t>
  </si>
  <si>
    <t>W2121</t>
  </si>
  <si>
    <t>Střecha</t>
  </si>
  <si>
    <t>W1281</t>
  </si>
  <si>
    <t>W1282</t>
  </si>
  <si>
    <t>W1381</t>
  </si>
  <si>
    <t>m2</t>
  </si>
  <si>
    <t>m3</t>
  </si>
  <si>
    <t>b1</t>
  </si>
  <si>
    <t>b2</t>
  </si>
  <si>
    <t>Ztužující věnec</t>
  </si>
  <si>
    <t>tlouštka</t>
  </si>
  <si>
    <t>Ztužující věnce</t>
  </si>
  <si>
    <t>v1</t>
  </si>
  <si>
    <t>B1</t>
  </si>
  <si>
    <t>B2</t>
  </si>
  <si>
    <t>B3</t>
  </si>
  <si>
    <t>B4</t>
  </si>
  <si>
    <t>B5</t>
  </si>
  <si>
    <t>S14</t>
  </si>
  <si>
    <t>železobetonov věnce C25/30-XC1</t>
  </si>
  <si>
    <t>B6</t>
  </si>
  <si>
    <t>žlb.věnce - bednění</t>
  </si>
  <si>
    <t>I101</t>
  </si>
  <si>
    <t>I102</t>
  </si>
  <si>
    <t>I103</t>
  </si>
  <si>
    <t>I104</t>
  </si>
  <si>
    <t>I105</t>
  </si>
  <si>
    <t>I106</t>
  </si>
  <si>
    <t>I107</t>
  </si>
  <si>
    <t>I108</t>
  </si>
  <si>
    <t>I109</t>
  </si>
  <si>
    <t>I110</t>
  </si>
  <si>
    <t>I111</t>
  </si>
  <si>
    <t>I112</t>
  </si>
  <si>
    <t>I113</t>
  </si>
  <si>
    <t>I114</t>
  </si>
  <si>
    <t>I115</t>
  </si>
  <si>
    <t>I116</t>
  </si>
  <si>
    <t>I117</t>
  </si>
  <si>
    <t>I118</t>
  </si>
  <si>
    <t>I119</t>
  </si>
  <si>
    <t>I120</t>
  </si>
  <si>
    <t>I121</t>
  </si>
  <si>
    <t>I122</t>
  </si>
  <si>
    <t>šachta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</si>
  <si>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</si>
  <si>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</si>
  <si>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</si>
  <si>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</si>
  <si>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</si>
  <si>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</si>
  <si>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</si>
  <si>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</si>
  <si>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</si>
  <si>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12</t>
  </si>
  <si>
    <t>13</t>
  </si>
  <si>
    <t>14</t>
  </si>
  <si>
    <t>15</t>
  </si>
  <si>
    <t>16</t>
  </si>
  <si>
    <t>17</t>
  </si>
  <si>
    <t>26</t>
  </si>
  <si>
    <t>25</t>
  </si>
  <si>
    <t>schod</t>
  </si>
  <si>
    <t>pod schodištěm</t>
  </si>
  <si>
    <t>27</t>
  </si>
  <si>
    <t>pod mezipodestou</t>
  </si>
  <si>
    <t>oblouk</t>
  </si>
  <si>
    <t>23</t>
  </si>
  <si>
    <t>chodba</t>
  </si>
  <si>
    <t>I123</t>
  </si>
  <si>
    <t>I124</t>
  </si>
  <si>
    <t>I125</t>
  </si>
  <si>
    <t>I126</t>
  </si>
  <si>
    <t>I127</t>
  </si>
  <si>
    <t>I128</t>
  </si>
  <si>
    <t>I129</t>
  </si>
  <si>
    <t>I130</t>
  </si>
  <si>
    <t>I131</t>
  </si>
  <si>
    <t>I132</t>
  </si>
  <si>
    <t>I133</t>
  </si>
  <si>
    <t>I134</t>
  </si>
  <si>
    <t>I135</t>
  </si>
  <si>
    <t>I136</t>
  </si>
  <si>
    <t>I137</t>
  </si>
  <si>
    <t>19-22</t>
  </si>
  <si>
    <t>12-15</t>
  </si>
  <si>
    <t>08-10a</t>
  </si>
  <si>
    <t>06+07</t>
  </si>
  <si>
    <t>05+07</t>
  </si>
  <si>
    <t>WC</t>
  </si>
  <si>
    <t>10a</t>
  </si>
  <si>
    <t>11a</t>
  </si>
  <si>
    <t>10b</t>
  </si>
  <si>
    <t>11b</t>
  </si>
  <si>
    <t>instalační</t>
  </si>
  <si>
    <t>11b+11c</t>
  </si>
  <si>
    <t>11c</t>
  </si>
  <si>
    <t>I138</t>
  </si>
  <si>
    <t>I139</t>
  </si>
  <si>
    <t>I140</t>
  </si>
  <si>
    <t>I141</t>
  </si>
  <si>
    <t>I142</t>
  </si>
  <si>
    <t>I143</t>
  </si>
  <si>
    <t>I144</t>
  </si>
  <si>
    <t>I145</t>
  </si>
  <si>
    <t>I146</t>
  </si>
  <si>
    <t>I147</t>
  </si>
  <si>
    <t>I148</t>
  </si>
  <si>
    <t>I149</t>
  </si>
  <si>
    <t>I150</t>
  </si>
  <si>
    <t>I151</t>
  </si>
  <si>
    <t>I152</t>
  </si>
  <si>
    <t>UC.2</t>
  </si>
  <si>
    <t>stoupačka</t>
  </si>
  <si>
    <t>I153</t>
  </si>
  <si>
    <t>I154</t>
  </si>
  <si>
    <t>I155</t>
  </si>
  <si>
    <t>I156</t>
  </si>
  <si>
    <t>I157</t>
  </si>
  <si>
    <t>I158</t>
  </si>
  <si>
    <t>I159</t>
  </si>
  <si>
    <t>I160</t>
  </si>
  <si>
    <t>I161</t>
  </si>
  <si>
    <t>I162</t>
  </si>
  <si>
    <t>I163</t>
  </si>
  <si>
    <t>I164</t>
  </si>
  <si>
    <t>I165</t>
  </si>
  <si>
    <t>I166</t>
  </si>
  <si>
    <t>I167</t>
  </si>
  <si>
    <t>I168</t>
  </si>
  <si>
    <t>I169</t>
  </si>
  <si>
    <t>I170</t>
  </si>
  <si>
    <t>I171</t>
  </si>
  <si>
    <t>I172</t>
  </si>
  <si>
    <t>I173</t>
  </si>
  <si>
    <t>I174</t>
  </si>
  <si>
    <t>I175</t>
  </si>
  <si>
    <t>I176</t>
  </si>
  <si>
    <t>I177</t>
  </si>
  <si>
    <t>I178</t>
  </si>
  <si>
    <t>I179</t>
  </si>
  <si>
    <t>I180</t>
  </si>
  <si>
    <t>I181</t>
  </si>
  <si>
    <t>I182</t>
  </si>
  <si>
    <t>I183</t>
  </si>
  <si>
    <t>I184</t>
  </si>
  <si>
    <t>I185</t>
  </si>
  <si>
    <t>19</t>
  </si>
  <si>
    <t>20</t>
  </si>
  <si>
    <t>mezibytová</t>
  </si>
  <si>
    <t>21</t>
  </si>
  <si>
    <t>22</t>
  </si>
  <si>
    <t>podloubí</t>
  </si>
  <si>
    <t>19+20+21</t>
  </si>
  <si>
    <t>46</t>
  </si>
  <si>
    <t>42</t>
  </si>
  <si>
    <t>47+48+53</t>
  </si>
  <si>
    <t>47</t>
  </si>
  <si>
    <t>48</t>
  </si>
  <si>
    <t>53</t>
  </si>
  <si>
    <t>52</t>
  </si>
  <si>
    <t>47+48</t>
  </si>
  <si>
    <t>49+52</t>
  </si>
  <si>
    <t>49</t>
  </si>
  <si>
    <t>51+52</t>
  </si>
  <si>
    <t>51</t>
  </si>
  <si>
    <t>31</t>
  </si>
  <si>
    <t>41</t>
  </si>
  <si>
    <t>50</t>
  </si>
  <si>
    <t>40+41</t>
  </si>
  <si>
    <t>40</t>
  </si>
  <si>
    <t>umyvadlo</t>
  </si>
  <si>
    <t>38</t>
  </si>
  <si>
    <t>39</t>
  </si>
  <si>
    <t>34+35</t>
  </si>
  <si>
    <t>35+36+37</t>
  </si>
  <si>
    <t>34+33</t>
  </si>
  <si>
    <t>34</t>
  </si>
  <si>
    <t>35</t>
  </si>
  <si>
    <t>33</t>
  </si>
  <si>
    <t>36</t>
  </si>
  <si>
    <t>37</t>
  </si>
  <si>
    <t>33+36</t>
  </si>
  <si>
    <t>32</t>
  </si>
  <si>
    <t>30+31</t>
  </si>
  <si>
    <t>I186</t>
  </si>
  <si>
    <t>I187</t>
  </si>
  <si>
    <t>I188</t>
  </si>
  <si>
    <t>I189</t>
  </si>
  <si>
    <t>I190</t>
  </si>
  <si>
    <t>I191</t>
  </si>
  <si>
    <t>I192</t>
  </si>
  <si>
    <t>I193</t>
  </si>
  <si>
    <t>I194</t>
  </si>
  <si>
    <t>I195</t>
  </si>
  <si>
    <t>I196</t>
  </si>
  <si>
    <t>I197</t>
  </si>
  <si>
    <t>I198</t>
  </si>
  <si>
    <t>I199</t>
  </si>
  <si>
    <t>I200</t>
  </si>
  <si>
    <t>30</t>
  </si>
  <si>
    <t>29</t>
  </si>
  <si>
    <t>29+31</t>
  </si>
  <si>
    <t>28</t>
  </si>
  <si>
    <t>I1200</t>
  </si>
  <si>
    <t>I1201</t>
  </si>
  <si>
    <t>I1202</t>
  </si>
  <si>
    <t>I1203</t>
  </si>
  <si>
    <t>I1204</t>
  </si>
  <si>
    <t>I1205</t>
  </si>
  <si>
    <t>I1206</t>
  </si>
  <si>
    <t>I1207</t>
  </si>
  <si>
    <t>I1208</t>
  </si>
  <si>
    <t>I1209</t>
  </si>
  <si>
    <t>I1210</t>
  </si>
  <si>
    <t>I1211</t>
  </si>
  <si>
    <t>28+26</t>
  </si>
  <si>
    <t>43</t>
  </si>
  <si>
    <t>45</t>
  </si>
  <si>
    <t>44</t>
  </si>
  <si>
    <t>šachtová</t>
  </si>
  <si>
    <t>I201</t>
  </si>
  <si>
    <t>I202</t>
  </si>
  <si>
    <t>I203</t>
  </si>
  <si>
    <t>I204</t>
  </si>
  <si>
    <t>I205</t>
  </si>
  <si>
    <t>I206</t>
  </si>
  <si>
    <t>I207</t>
  </si>
  <si>
    <t>I208</t>
  </si>
  <si>
    <t>I209</t>
  </si>
  <si>
    <t>I210</t>
  </si>
  <si>
    <t>I211</t>
  </si>
  <si>
    <t>I212</t>
  </si>
  <si>
    <t>I213</t>
  </si>
  <si>
    <t>I214</t>
  </si>
  <si>
    <t>I215</t>
  </si>
  <si>
    <t>I216</t>
  </si>
  <si>
    <t>I217</t>
  </si>
  <si>
    <t>I218</t>
  </si>
  <si>
    <t>I219</t>
  </si>
  <si>
    <t>I220</t>
  </si>
  <si>
    <t>I221</t>
  </si>
  <si>
    <t>10</t>
  </si>
  <si>
    <t>11</t>
  </si>
  <si>
    <t>18</t>
  </si>
  <si>
    <t>86</t>
  </si>
  <si>
    <t>04+05</t>
  </si>
  <si>
    <t>I222</t>
  </si>
  <si>
    <t>I223</t>
  </si>
  <si>
    <t>I224</t>
  </si>
  <si>
    <t>I225</t>
  </si>
  <si>
    <t>I226</t>
  </si>
  <si>
    <t>I227</t>
  </si>
  <si>
    <t>I228</t>
  </si>
  <si>
    <t>I229</t>
  </si>
  <si>
    <t>I230</t>
  </si>
  <si>
    <t>I231</t>
  </si>
  <si>
    <t>I232</t>
  </si>
  <si>
    <t>I233</t>
  </si>
  <si>
    <t>I234</t>
  </si>
  <si>
    <t>I235</t>
  </si>
  <si>
    <t>I236</t>
  </si>
  <si>
    <t>I237</t>
  </si>
  <si>
    <t>I238</t>
  </si>
  <si>
    <t>I239</t>
  </si>
  <si>
    <t>I240</t>
  </si>
  <si>
    <t>10+12</t>
  </si>
  <si>
    <t>14+16</t>
  </si>
  <si>
    <t>18+21</t>
  </si>
  <si>
    <t>23+25</t>
  </si>
  <si>
    <t>09+11</t>
  </si>
  <si>
    <t>13+15</t>
  </si>
  <si>
    <t>22+24</t>
  </si>
  <si>
    <t>26+28</t>
  </si>
  <si>
    <t>32+34</t>
  </si>
  <si>
    <t>36+38</t>
  </si>
  <si>
    <t>I241</t>
  </si>
  <si>
    <t>I242</t>
  </si>
  <si>
    <t>I243</t>
  </si>
  <si>
    <t>I244</t>
  </si>
  <si>
    <t>I245</t>
  </si>
  <si>
    <t>I246</t>
  </si>
  <si>
    <t>I247</t>
  </si>
  <si>
    <t>I248</t>
  </si>
  <si>
    <t>I249</t>
  </si>
  <si>
    <t>I250</t>
  </si>
  <si>
    <t>I251</t>
  </si>
  <si>
    <t>I252</t>
  </si>
  <si>
    <t>I253</t>
  </si>
  <si>
    <t>I254</t>
  </si>
  <si>
    <t>I255</t>
  </si>
  <si>
    <t>I256</t>
  </si>
  <si>
    <t>I257</t>
  </si>
  <si>
    <t>I258</t>
  </si>
  <si>
    <t>I259</t>
  </si>
  <si>
    <t>I260</t>
  </si>
  <si>
    <t>I261</t>
  </si>
  <si>
    <t>I262</t>
  </si>
  <si>
    <t>24</t>
  </si>
  <si>
    <t>UC3</t>
  </si>
  <si>
    <t>I223.1</t>
  </si>
  <si>
    <t>I234.1</t>
  </si>
  <si>
    <t>I263</t>
  </si>
  <si>
    <t>I264</t>
  </si>
  <si>
    <t>I265</t>
  </si>
  <si>
    <t>I266</t>
  </si>
  <si>
    <t>I267</t>
  </si>
  <si>
    <t>I268</t>
  </si>
  <si>
    <t>I269</t>
  </si>
  <si>
    <t>I270</t>
  </si>
  <si>
    <t>I271</t>
  </si>
  <si>
    <t>I272</t>
  </si>
  <si>
    <t>82</t>
  </si>
  <si>
    <t>pod podestou</t>
  </si>
  <si>
    <t>pod ramenem</t>
  </si>
  <si>
    <t>UC1</t>
  </si>
  <si>
    <t>29+40+42</t>
  </si>
  <si>
    <t>40+42</t>
  </si>
  <si>
    <t>I273</t>
  </si>
  <si>
    <t>I274</t>
  </si>
  <si>
    <t>I275</t>
  </si>
  <si>
    <t>I276</t>
  </si>
  <si>
    <t>41+43</t>
  </si>
  <si>
    <t>42+43</t>
  </si>
  <si>
    <t>I277</t>
  </si>
  <si>
    <t>I278</t>
  </si>
  <si>
    <t>I279</t>
  </si>
  <si>
    <t>I280</t>
  </si>
  <si>
    <t>I281</t>
  </si>
  <si>
    <t>I282</t>
  </si>
  <si>
    <t>I283</t>
  </si>
  <si>
    <t>I284</t>
  </si>
  <si>
    <t>I285</t>
  </si>
  <si>
    <t>I286</t>
  </si>
  <si>
    <t>I287</t>
  </si>
  <si>
    <t>I288</t>
  </si>
  <si>
    <t>I289</t>
  </si>
  <si>
    <t>I290</t>
  </si>
  <si>
    <t>I291</t>
  </si>
  <si>
    <t>I292</t>
  </si>
  <si>
    <t>I293</t>
  </si>
  <si>
    <t>I294</t>
  </si>
  <si>
    <t>I295</t>
  </si>
  <si>
    <t>I296</t>
  </si>
  <si>
    <t>I297</t>
  </si>
  <si>
    <t>I298</t>
  </si>
  <si>
    <t>I299</t>
  </si>
  <si>
    <t>I300</t>
  </si>
  <si>
    <t>80</t>
  </si>
  <si>
    <t>87</t>
  </si>
  <si>
    <t>I2300</t>
  </si>
  <si>
    <t>I2301</t>
  </si>
  <si>
    <t>I2302</t>
  </si>
  <si>
    <t>I2303</t>
  </si>
  <si>
    <t>I2304</t>
  </si>
  <si>
    <t>I2305</t>
  </si>
  <si>
    <t>I2306</t>
  </si>
  <si>
    <t>I2307</t>
  </si>
  <si>
    <t>I2308</t>
  </si>
  <si>
    <t>I2309</t>
  </si>
  <si>
    <t>I2310</t>
  </si>
  <si>
    <t>I2311</t>
  </si>
  <si>
    <t>I2312</t>
  </si>
  <si>
    <t>I2313</t>
  </si>
  <si>
    <t>I2314</t>
  </si>
  <si>
    <t>I2315</t>
  </si>
  <si>
    <t>I2316</t>
  </si>
  <si>
    <t>I2317</t>
  </si>
  <si>
    <t>I2318</t>
  </si>
  <si>
    <t>I2319</t>
  </si>
  <si>
    <t>78</t>
  </si>
  <si>
    <t>76</t>
  </si>
  <si>
    <t>74</t>
  </si>
  <si>
    <t>73</t>
  </si>
  <si>
    <t>71</t>
  </si>
  <si>
    <t>69</t>
  </si>
  <si>
    <t>67</t>
  </si>
  <si>
    <t>65</t>
  </si>
  <si>
    <t>63</t>
  </si>
  <si>
    <t>61</t>
  </si>
  <si>
    <t>59</t>
  </si>
  <si>
    <t>79</t>
  </si>
  <si>
    <t>57</t>
  </si>
  <si>
    <t>55</t>
  </si>
  <si>
    <t>78+76</t>
  </si>
  <si>
    <t>UC2</t>
  </si>
  <si>
    <t>71+73</t>
  </si>
  <si>
    <t>65+63</t>
  </si>
  <si>
    <t>59+61</t>
  </si>
  <si>
    <t>I2320</t>
  </si>
  <si>
    <t>I2321</t>
  </si>
  <si>
    <t>I2322</t>
  </si>
  <si>
    <t>I2323</t>
  </si>
  <si>
    <t>I2324</t>
  </si>
  <si>
    <t>I2325</t>
  </si>
  <si>
    <t>I2326</t>
  </si>
  <si>
    <t>I2327</t>
  </si>
  <si>
    <t>I2328</t>
  </si>
  <si>
    <t>I2329</t>
  </si>
  <si>
    <t>I2330</t>
  </si>
  <si>
    <t>I2331</t>
  </si>
  <si>
    <t>I2332</t>
  </si>
  <si>
    <t>81+79</t>
  </si>
  <si>
    <t>77</t>
  </si>
  <si>
    <t>75</t>
  </si>
  <si>
    <t>70+72</t>
  </si>
  <si>
    <t>66+68</t>
  </si>
  <si>
    <t>68</t>
  </si>
  <si>
    <t>62+64</t>
  </si>
  <si>
    <t>58+60</t>
  </si>
  <si>
    <t>56</t>
  </si>
  <si>
    <t>54+52</t>
  </si>
  <si>
    <t>54</t>
  </si>
  <si>
    <t>I2333</t>
  </si>
  <si>
    <t>I2334</t>
  </si>
  <si>
    <t>I2335</t>
  </si>
  <si>
    <t>I2336</t>
  </si>
  <si>
    <t>I2337</t>
  </si>
  <si>
    <t>81</t>
  </si>
  <si>
    <t>72</t>
  </si>
  <si>
    <t>70</t>
  </si>
  <si>
    <t>66</t>
  </si>
  <si>
    <t>64</t>
  </si>
  <si>
    <t>62</t>
  </si>
  <si>
    <t>60</t>
  </si>
  <si>
    <t>58</t>
  </si>
  <si>
    <t>I2338</t>
  </si>
  <si>
    <t>I2339</t>
  </si>
  <si>
    <t>I2340</t>
  </si>
  <si>
    <t>I2341</t>
  </si>
  <si>
    <t>I2342</t>
  </si>
  <si>
    <t>I2343</t>
  </si>
  <si>
    <t>I2344</t>
  </si>
  <si>
    <t>I2345</t>
  </si>
  <si>
    <t>wc</t>
  </si>
  <si>
    <t>I301</t>
  </si>
  <si>
    <t>I302</t>
  </si>
  <si>
    <t>I303</t>
  </si>
  <si>
    <t>I304</t>
  </si>
  <si>
    <t>I305</t>
  </si>
  <si>
    <t>I306</t>
  </si>
  <si>
    <t>I307</t>
  </si>
  <si>
    <t>I308</t>
  </si>
  <si>
    <t>I309</t>
  </si>
  <si>
    <t>I310</t>
  </si>
  <si>
    <t>I311</t>
  </si>
  <si>
    <t>I312</t>
  </si>
  <si>
    <t>I313</t>
  </si>
  <si>
    <t>I314</t>
  </si>
  <si>
    <t>I315</t>
  </si>
  <si>
    <t>I316</t>
  </si>
  <si>
    <t>I317</t>
  </si>
  <si>
    <t>I318</t>
  </si>
  <si>
    <t>I319</t>
  </si>
  <si>
    <t>I320</t>
  </si>
  <si>
    <t>I321</t>
  </si>
  <si>
    <t>I322</t>
  </si>
  <si>
    <t>I323</t>
  </si>
  <si>
    <t>I324</t>
  </si>
  <si>
    <t>I325</t>
  </si>
  <si>
    <t>I326</t>
  </si>
  <si>
    <t>I327</t>
  </si>
  <si>
    <t>I328</t>
  </si>
  <si>
    <t>I323.1</t>
  </si>
  <si>
    <t>I329</t>
  </si>
  <si>
    <t>I330</t>
  </si>
  <si>
    <t>I331</t>
  </si>
  <si>
    <t>I332</t>
  </si>
  <si>
    <t>I333</t>
  </si>
  <si>
    <t>I334</t>
  </si>
  <si>
    <t>I334.1</t>
  </si>
  <si>
    <t>I335</t>
  </si>
  <si>
    <t>I336</t>
  </si>
  <si>
    <t>I337</t>
  </si>
  <si>
    <t>I338</t>
  </si>
  <si>
    <t>I339</t>
  </si>
  <si>
    <t>I340</t>
  </si>
  <si>
    <t>I341</t>
  </si>
  <si>
    <t>I342</t>
  </si>
  <si>
    <t>I343</t>
  </si>
  <si>
    <t>I344</t>
  </si>
  <si>
    <t>I345</t>
  </si>
  <si>
    <t>I346</t>
  </si>
  <si>
    <t>I347</t>
  </si>
  <si>
    <t>I348</t>
  </si>
  <si>
    <t>I349</t>
  </si>
  <si>
    <t>I350</t>
  </si>
  <si>
    <t>I351</t>
  </si>
  <si>
    <t>I352</t>
  </si>
  <si>
    <t>I353</t>
  </si>
  <si>
    <t>I354</t>
  </si>
  <si>
    <t>I355</t>
  </si>
  <si>
    <t>I356</t>
  </si>
  <si>
    <t>I357</t>
  </si>
  <si>
    <t>I358</t>
  </si>
  <si>
    <t>I359</t>
  </si>
  <si>
    <t>I360</t>
  </si>
  <si>
    <t>I361</t>
  </si>
  <si>
    <t>I362</t>
  </si>
  <si>
    <t>I363</t>
  </si>
  <si>
    <t>I364</t>
  </si>
  <si>
    <t>I368</t>
  </si>
  <si>
    <t>I369</t>
  </si>
  <si>
    <t>I370</t>
  </si>
  <si>
    <t>I371</t>
  </si>
  <si>
    <t>I372</t>
  </si>
  <si>
    <t>I373</t>
  </si>
  <si>
    <t>I374</t>
  </si>
  <si>
    <t>I375</t>
  </si>
  <si>
    <t>I376</t>
  </si>
  <si>
    <t>I377</t>
  </si>
  <si>
    <t>I378</t>
  </si>
  <si>
    <t>I379</t>
  </si>
  <si>
    <t>I380</t>
  </si>
  <si>
    <t>I381</t>
  </si>
  <si>
    <t>I382</t>
  </si>
  <si>
    <t>I383</t>
  </si>
  <si>
    <t>I384</t>
  </si>
  <si>
    <t>I385</t>
  </si>
  <si>
    <t>I386</t>
  </si>
  <si>
    <t>I387</t>
  </si>
  <si>
    <t>I388</t>
  </si>
  <si>
    <t>I389</t>
  </si>
  <si>
    <t>I390</t>
  </si>
  <si>
    <t>I391</t>
  </si>
  <si>
    <t>I392</t>
  </si>
  <si>
    <t>I393</t>
  </si>
  <si>
    <t>I394</t>
  </si>
  <si>
    <t>I395</t>
  </si>
  <si>
    <t>I396</t>
  </si>
  <si>
    <t>I397</t>
  </si>
  <si>
    <t>I398</t>
  </si>
  <si>
    <t>I399</t>
  </si>
  <si>
    <t>I3300</t>
  </si>
  <si>
    <t>I3301</t>
  </si>
  <si>
    <t>I3302</t>
  </si>
  <si>
    <t>I3303</t>
  </si>
  <si>
    <t>I3304</t>
  </si>
  <si>
    <t>I3305</t>
  </si>
  <si>
    <t>I3306</t>
  </si>
  <si>
    <t>I3307</t>
  </si>
  <si>
    <t>I3308</t>
  </si>
  <si>
    <t>I3309</t>
  </si>
  <si>
    <t>I3310</t>
  </si>
  <si>
    <t>I3311</t>
  </si>
  <si>
    <t>I3312</t>
  </si>
  <si>
    <t>I3313</t>
  </si>
  <si>
    <t>I3314</t>
  </si>
  <si>
    <t>I3315</t>
  </si>
  <si>
    <t>I3316</t>
  </si>
  <si>
    <t>I3317</t>
  </si>
  <si>
    <t>I3318</t>
  </si>
  <si>
    <t>I3319</t>
  </si>
  <si>
    <t>I3320</t>
  </si>
  <si>
    <t>I3321</t>
  </si>
  <si>
    <t>I3322</t>
  </si>
  <si>
    <t>I3323</t>
  </si>
  <si>
    <t>I3324</t>
  </si>
  <si>
    <t>I3325</t>
  </si>
  <si>
    <t>I3326</t>
  </si>
  <si>
    <t>I3327</t>
  </si>
  <si>
    <t>I3328</t>
  </si>
  <si>
    <t>I3329</t>
  </si>
  <si>
    <t>I3330</t>
  </si>
  <si>
    <t>I3331</t>
  </si>
  <si>
    <t>I3332</t>
  </si>
  <si>
    <t>I3333</t>
  </si>
  <si>
    <t>I3334</t>
  </si>
  <si>
    <t>I3335</t>
  </si>
  <si>
    <t>I3336</t>
  </si>
  <si>
    <t>I3337</t>
  </si>
  <si>
    <t>I3338</t>
  </si>
  <si>
    <t>I3339</t>
  </si>
  <si>
    <t>I3340</t>
  </si>
  <si>
    <t>I3341</t>
  </si>
  <si>
    <t>I3342</t>
  </si>
  <si>
    <t>I3343</t>
  </si>
  <si>
    <t>I3344</t>
  </si>
  <si>
    <t>I3345</t>
  </si>
  <si>
    <t>I117a</t>
  </si>
  <si>
    <t>I116a</t>
  </si>
  <si>
    <t>W1</t>
  </si>
  <si>
    <t>W2</t>
  </si>
  <si>
    <t>W3</t>
  </si>
  <si>
    <t>W4</t>
  </si>
  <si>
    <t>W5</t>
  </si>
  <si>
    <t>W6</t>
  </si>
  <si>
    <t>W7</t>
  </si>
  <si>
    <t>W8</t>
  </si>
  <si>
    <t>W9</t>
  </si>
  <si>
    <t>W10</t>
  </si>
  <si>
    <t>W11</t>
  </si>
  <si>
    <t>W12</t>
  </si>
  <si>
    <t>W13</t>
  </si>
  <si>
    <t>W14</t>
  </si>
  <si>
    <t>W15</t>
  </si>
  <si>
    <t>W16</t>
  </si>
  <si>
    <t>W17</t>
  </si>
  <si>
    <t>W18</t>
  </si>
  <si>
    <t>SDK příčka tl.100mm</t>
  </si>
  <si>
    <t>SDK příčka tl.150mm</t>
  </si>
  <si>
    <t>SDK příčka tl.200mm</t>
  </si>
  <si>
    <t>SDK příčka tl.225mm</t>
  </si>
  <si>
    <t>SDK příčka instalační tl.250mm</t>
  </si>
  <si>
    <t>SDK příčka instalační tl.350mm</t>
  </si>
  <si>
    <t>SDK příčka instalační tl.400mm</t>
  </si>
  <si>
    <t>SDK příčka mezi pokoji/chodbou tl.155mm</t>
  </si>
  <si>
    <t>SDK příčka mezi koupelnou pokoje a chodbou tl.155mm</t>
  </si>
  <si>
    <t>SDK příčka mezi koupelnou pokoje a chodbou tl.205mm</t>
  </si>
  <si>
    <t>SDK příčka šachta mezi koupelnami tl.265mm</t>
  </si>
  <si>
    <t>SDK příčka šachta mezi koupelnami tl.465mm</t>
  </si>
  <si>
    <t>SDK příčka šachta mezi koupelnou a vedlejším pokojem tl.300/385mm</t>
  </si>
  <si>
    <t>SDK předstěna tl.75mm</t>
  </si>
  <si>
    <t>SDK šachtová stěna tl.125mm</t>
  </si>
  <si>
    <t>SDK požární předěl do niky na schodišti tl.100mm</t>
  </si>
  <si>
    <t>zděná příčka tl.220mm - Porotherm AKU 19</t>
  </si>
  <si>
    <t>zděná příčka tl.270mm - Porotherm 24 Profi</t>
  </si>
  <si>
    <t>w14</t>
  </si>
  <si>
    <t>w14.1</t>
  </si>
  <si>
    <t>w3</t>
  </si>
  <si>
    <t>w1</t>
  </si>
  <si>
    <t>w18</t>
  </si>
  <si>
    <t>w4</t>
  </si>
  <si>
    <t>w15</t>
  </si>
  <si>
    <t>w2</t>
  </si>
  <si>
    <t>w5</t>
  </si>
  <si>
    <t>w7</t>
  </si>
  <si>
    <t>w17</t>
  </si>
  <si>
    <t>I1591</t>
  </si>
  <si>
    <t>I2041</t>
  </si>
  <si>
    <t>w10</t>
  </si>
  <si>
    <t>w8</t>
  </si>
  <si>
    <t>I2261</t>
  </si>
  <si>
    <t>w9</t>
  </si>
  <si>
    <t>w13</t>
  </si>
  <si>
    <t>w12</t>
  </si>
  <si>
    <t>I2431</t>
  </si>
  <si>
    <t>w16</t>
  </si>
  <si>
    <t>nika</t>
  </si>
  <si>
    <t>I2441</t>
  </si>
  <si>
    <t>I23391</t>
  </si>
  <si>
    <t>I233401</t>
  </si>
  <si>
    <t>w11</t>
  </si>
  <si>
    <t>w6</t>
  </si>
  <si>
    <t>I2791</t>
  </si>
  <si>
    <t>I3041</t>
  </si>
  <si>
    <t>I3261</t>
  </si>
  <si>
    <t>I3431</t>
  </si>
  <si>
    <t>I3441</t>
  </si>
  <si>
    <t>I3791</t>
  </si>
  <si>
    <t>I33391</t>
  </si>
  <si>
    <t>I333401</t>
  </si>
  <si>
    <t>A2x12,5</t>
  </si>
  <si>
    <t>oboustranně</t>
  </si>
  <si>
    <t>nebo 
2. strana</t>
  </si>
  <si>
    <t>Deska příčky, stěny</t>
  </si>
  <si>
    <t>F2x12,5</t>
  </si>
  <si>
    <t>A2x12,5 +F2x12,5</t>
  </si>
  <si>
    <t>H2 2x12,5</t>
  </si>
  <si>
    <t>A2x12,5 +H2 2x12,5</t>
  </si>
  <si>
    <t>I1631</t>
  </si>
  <si>
    <t>I1491</t>
  </si>
  <si>
    <t>I1311</t>
  </si>
  <si>
    <t>I1371</t>
  </si>
  <si>
    <t>I1661</t>
  </si>
  <si>
    <t>I1721</t>
  </si>
  <si>
    <t>I1761</t>
  </si>
  <si>
    <t>I1762</t>
  </si>
  <si>
    <t>H2 2x12,5 +F 2x15</t>
  </si>
  <si>
    <t>I2061</t>
  </si>
  <si>
    <t>I3061</t>
  </si>
  <si>
    <t>A2x12,5 +F 2x15</t>
  </si>
  <si>
    <t>H2 2x12,5 +F2x15</t>
  </si>
  <si>
    <t>GMF 2x25</t>
  </si>
  <si>
    <t>I2491</t>
  </si>
  <si>
    <t>I2561</t>
  </si>
  <si>
    <t>I2631</t>
  </si>
  <si>
    <t>I2681</t>
  </si>
  <si>
    <t>H2 2x12,5 +F 2x12,5</t>
  </si>
  <si>
    <t>I23261</t>
  </si>
  <si>
    <t>44+73</t>
  </si>
  <si>
    <t>I23301</t>
  </si>
  <si>
    <t>I23331</t>
  </si>
  <si>
    <t>I3491</t>
  </si>
  <si>
    <t>I3561</t>
  </si>
  <si>
    <t>I3631</t>
  </si>
  <si>
    <t>I3681</t>
  </si>
  <si>
    <t>I33261</t>
  </si>
  <si>
    <t>I33301</t>
  </si>
  <si>
    <t>I33331</t>
  </si>
  <si>
    <t>H2 2x12,5mm</t>
  </si>
  <si>
    <t>A2x12,5mm</t>
  </si>
  <si>
    <t>A2x12,5mm +H2 2x12,5mm</t>
  </si>
  <si>
    <t>A2x12,5 +F2x15</t>
  </si>
  <si>
    <t>A2x12,5mm +F2x12,5mm</t>
  </si>
  <si>
    <t>A2x12,5mm +F2x15mm</t>
  </si>
  <si>
    <t>H2 2x12,5mm +F2x15mm</t>
  </si>
  <si>
    <t>H2 2x12,5mm +F2x12,5mm</t>
  </si>
  <si>
    <t>F2x12,5mm</t>
  </si>
  <si>
    <t>A2x12,5mm - oblouk</t>
  </si>
  <si>
    <t>GMF 2x25mm</t>
  </si>
  <si>
    <t>instalace</t>
  </si>
  <si>
    <t>předstěny</t>
  </si>
  <si>
    <t>SDK předstěna tl.25mm - jen desky</t>
  </si>
  <si>
    <t>W19</t>
  </si>
  <si>
    <t>w19</t>
  </si>
  <si>
    <t>nadezdívky</t>
  </si>
  <si>
    <t>světlík</t>
  </si>
  <si>
    <t>výlez</t>
  </si>
  <si>
    <t>W20</t>
  </si>
  <si>
    <t>w20</t>
  </si>
  <si>
    <t>atrium</t>
  </si>
  <si>
    <t>84</t>
  </si>
  <si>
    <t>zdivo beton ztracené bednění tl.200mm</t>
  </si>
  <si>
    <t>zdivo beton ztracené bednění tl.300mm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</si>
</sst>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3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vertAlign val="superscript"/>
      <sz val="9"/>
      <color theme="1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rgb="FFC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rgb="FFC0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thin">
        <color indexed="64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5">
    <xf numFmtId="0" fontId="0" fillId="0" borderId="0" xfId="0"/>
    <xf numFmtId="0" fontId="1" fillId="0" borderId="0" xfId="0" applyFont="1"/>
    <xf numFmtId="49" fontId="0" fillId="0" borderId="0" xfId="0" applyNumberFormat="1"/>
    <xf numFmtId="4" fontId="0" fillId="0" borderId="1" xfId="0" applyNumberFormat="1" applyBorder="1" applyAlignment="1">
      <alignment vertical="center"/>
    </xf>
    <xf numFmtId="4" fontId="0" fillId="0" borderId="0" xfId="0" applyNumberFormat="1"/>
    <xf numFmtId="0" fontId="0" fillId="2" borderId="3" xfId="0" applyFill="1" applyBorder="1" applyAlignment="1">
      <alignment horizontal="center" vertical="center"/>
    </xf>
    <xf numFmtId="49" fontId="4" fillId="3" borderId="1" xfId="0" applyNumberFormat="1" applyFont="1" applyFill="1" applyBorder="1"/>
    <xf numFmtId="49" fontId="5" fillId="3" borderId="1" xfId="0" applyNumberFormat="1" applyFont="1" applyFill="1" applyBorder="1"/>
    <xf numFmtId="4" fontId="5" fillId="3" borderId="1" xfId="0" applyNumberFormat="1" applyFont="1" applyFill="1" applyBorder="1" applyAlignment="1">
      <alignment vertical="center"/>
    </xf>
    <xf numFmtId="0" fontId="2" fillId="2" borderId="6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4" fontId="0" fillId="4" borderId="1" xfId="0" applyNumberFormat="1" applyFill="1" applyBorder="1" applyAlignment="1">
      <alignment vertical="center"/>
    </xf>
    <xf numFmtId="49" fontId="4" fillId="3" borderId="1" xfId="0" applyNumberFormat="1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4" fontId="7" fillId="0" borderId="1" xfId="0" applyNumberFormat="1" applyFont="1" applyBorder="1" applyAlignment="1">
      <alignment vertical="center"/>
    </xf>
    <xf numFmtId="0" fontId="0" fillId="0" borderId="1" xfId="0" applyBorder="1"/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9" fillId="0" borderId="0" xfId="0" applyFont="1"/>
    <xf numFmtId="164" fontId="0" fillId="0" borderId="1" xfId="0" applyNumberFormat="1" applyBorder="1" applyAlignment="1">
      <alignment vertical="center"/>
    </xf>
    <xf numFmtId="3" fontId="0" fillId="0" borderId="1" xfId="0" applyNumberFormat="1" applyBorder="1" applyAlignment="1">
      <alignment vertical="center"/>
    </xf>
    <xf numFmtId="3" fontId="5" fillId="3" borderId="1" xfId="0" applyNumberFormat="1" applyFont="1" applyFill="1" applyBorder="1" applyAlignment="1">
      <alignment vertical="center"/>
    </xf>
    <xf numFmtId="0" fontId="9" fillId="0" borderId="10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7" fillId="0" borderId="10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9" fillId="0" borderId="10" xfId="0" applyFont="1" applyBorder="1" applyAlignment="1">
      <alignment horizontal="center" vertical="center"/>
    </xf>
    <xf numFmtId="4" fontId="7" fillId="0" borderId="11" xfId="0" applyNumberFormat="1" applyFont="1" applyBorder="1" applyAlignment="1">
      <alignment vertical="center"/>
    </xf>
    <xf numFmtId="4" fontId="7" fillId="0" borderId="12" xfId="0" applyNumberFormat="1" applyFont="1" applyBorder="1" applyAlignment="1">
      <alignment vertical="center"/>
    </xf>
    <xf numFmtId="49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20" xfId="0" applyBorder="1"/>
    <xf numFmtId="0" fontId="0" fillId="0" borderId="5" xfId="0" applyBorder="1"/>
    <xf numFmtId="0" fontId="0" fillId="0" borderId="2" xfId="0" applyBorder="1"/>
    <xf numFmtId="49" fontId="5" fillId="0" borderId="7" xfId="0" applyNumberFormat="1" applyFont="1" applyBorder="1"/>
    <xf numFmtId="49" fontId="5" fillId="0" borderId="8" xfId="0" applyNumberFormat="1" applyFont="1" applyBorder="1"/>
    <xf numFmtId="49" fontId="8" fillId="0" borderId="7" xfId="0" applyNumberFormat="1" applyFont="1" applyBorder="1" applyAlignment="1">
      <alignment horizontal="right"/>
    </xf>
    <xf numFmtId="49" fontId="8" fillId="0" borderId="8" xfId="0" applyNumberFormat="1" applyFont="1" applyBorder="1" applyAlignment="1">
      <alignment horizontal="left" vertical="center"/>
    </xf>
    <xf numFmtId="49" fontId="8" fillId="0" borderId="1" xfId="0" applyNumberFormat="1" applyFont="1" applyBorder="1"/>
    <xf numFmtId="49" fontId="7" fillId="0" borderId="10" xfId="0" applyNumberFormat="1" applyFont="1" applyBorder="1" applyAlignment="1">
      <alignment horizontal="right" vertical="center"/>
    </xf>
    <xf numFmtId="49" fontId="7" fillId="0" borderId="11" xfId="0" quotePrefix="1" applyNumberFormat="1" applyFont="1" applyBorder="1" applyAlignment="1">
      <alignment horizontal="left" vertical="center"/>
    </xf>
    <xf numFmtId="49" fontId="7" fillId="0" borderId="10" xfId="0" applyNumberFormat="1" applyFont="1" applyBorder="1" applyAlignment="1">
      <alignment horizontal="right"/>
    </xf>
    <xf numFmtId="49" fontId="7" fillId="0" borderId="11" xfId="0" applyNumberFormat="1" applyFont="1" applyBorder="1" applyAlignment="1">
      <alignment horizontal="left" vertical="center"/>
    </xf>
    <xf numFmtId="49" fontId="6" fillId="0" borderId="1" xfId="0" applyNumberFormat="1" applyFont="1" applyBorder="1"/>
    <xf numFmtId="49" fontId="10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2" fillId="5" borderId="16" xfId="0" applyFont="1" applyFill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left" vertical="center"/>
    </xf>
    <xf numFmtId="49" fontId="5" fillId="0" borderId="10" xfId="0" applyNumberFormat="1" applyFont="1" applyBorder="1"/>
    <xf numFmtId="0" fontId="2" fillId="5" borderId="2" xfId="0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vertical="center"/>
    </xf>
    <xf numFmtId="4" fontId="9" fillId="4" borderId="11" xfId="0" applyNumberFormat="1" applyFont="1" applyFill="1" applyBorder="1" applyAlignment="1">
      <alignment vertical="center"/>
    </xf>
    <xf numFmtId="3" fontId="9" fillId="4" borderId="1" xfId="0" applyNumberFormat="1" applyFont="1" applyFill="1" applyBorder="1" applyAlignment="1">
      <alignment vertical="center"/>
    </xf>
    <xf numFmtId="4" fontId="9" fillId="0" borderId="11" xfId="0" applyNumberFormat="1" applyFont="1" applyBorder="1" applyAlignment="1">
      <alignment vertical="center"/>
    </xf>
    <xf numFmtId="4" fontId="10" fillId="0" borderId="12" xfId="0" applyNumberFormat="1" applyFont="1" applyBorder="1" applyAlignment="1">
      <alignment vertical="center"/>
    </xf>
    <xf numFmtId="4" fontId="10" fillId="0" borderId="11" xfId="0" applyNumberFormat="1" applyFont="1" applyBorder="1" applyAlignment="1">
      <alignment vertical="center"/>
    </xf>
    <xf numFmtId="4" fontId="10" fillId="0" borderId="10" xfId="0" applyNumberFormat="1" applyFont="1" applyBorder="1" applyAlignment="1">
      <alignment vertical="center"/>
    </xf>
    <xf numFmtId="0" fontId="2" fillId="5" borderId="20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right" vertical="center"/>
    </xf>
    <xf numFmtId="4" fontId="9" fillId="0" borderId="10" xfId="0" applyNumberFormat="1" applyFont="1" applyBorder="1" applyAlignment="1">
      <alignment vertical="center"/>
    </xf>
    <xf numFmtId="0" fontId="2" fillId="5" borderId="16" xfId="0" applyFont="1" applyFill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left" vertical="center"/>
    </xf>
    <xf numFmtId="49" fontId="5" fillId="0" borderId="9" xfId="0" applyNumberFormat="1" applyFont="1" applyBorder="1" applyAlignment="1">
      <alignment horizontal="left"/>
    </xf>
    <xf numFmtId="0" fontId="7" fillId="0" borderId="10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top" wrapText="1"/>
    </xf>
    <xf numFmtId="0" fontId="7" fillId="0" borderId="11" xfId="0" applyFont="1" applyFill="1" applyBorder="1" applyAlignment="1">
      <alignment horizontal="left" vertical="top" wrapText="1"/>
    </xf>
    <xf numFmtId="0" fontId="6" fillId="2" borderId="14" xfId="0" applyFont="1" applyFill="1" applyBorder="1" applyAlignment="1">
      <alignment horizontal="center" vertical="center"/>
    </xf>
    <xf numFmtId="0" fontId="7" fillId="0" borderId="10" xfId="0" applyFont="1" applyBorder="1" applyAlignment="1">
      <alignment vertical="top"/>
    </xf>
    <xf numFmtId="0" fontId="7" fillId="0" borderId="10" xfId="0" applyFont="1" applyBorder="1" applyAlignment="1">
      <alignment vertical="top" wrapText="1"/>
    </xf>
    <xf numFmtId="0" fontId="7" fillId="0" borderId="12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49" fontId="12" fillId="0" borderId="1" xfId="0" applyNumberFormat="1" applyFont="1" applyBorder="1"/>
    <xf numFmtId="4" fontId="9" fillId="0" borderId="10" xfId="0" applyNumberFormat="1" applyFont="1" applyBorder="1" applyAlignment="1">
      <alignment horizontal="center" vertical="top"/>
    </xf>
    <xf numFmtId="4" fontId="9" fillId="0" borderId="11" xfId="0" applyNumberFormat="1" applyFont="1" applyBorder="1" applyAlignment="1">
      <alignment horizontal="center" vertical="top"/>
    </xf>
    <xf numFmtId="4" fontId="0" fillId="0" borderId="10" xfId="0" applyNumberFormat="1" applyBorder="1" applyAlignment="1">
      <alignment horizontal="center" vertical="top"/>
    </xf>
    <xf numFmtId="4" fontId="0" fillId="0" borderId="11" xfId="0" applyNumberFormat="1" applyBorder="1" applyAlignment="1">
      <alignment horizontal="center" vertical="top"/>
    </xf>
    <xf numFmtId="49" fontId="10" fillId="6" borderId="1" xfId="0" applyNumberFormat="1" applyFont="1" applyFill="1" applyBorder="1" applyAlignment="1">
      <alignment horizontal="center" vertical="center"/>
    </xf>
    <xf numFmtId="49" fontId="2" fillId="0" borderId="7" xfId="0" applyNumberFormat="1" applyFont="1" applyBorder="1" applyAlignment="1">
      <alignment horizontal="left" vertical="center"/>
    </xf>
    <xf numFmtId="49" fontId="2" fillId="0" borderId="8" xfId="0" applyNumberFormat="1" applyFont="1" applyBorder="1" applyAlignment="1">
      <alignment horizontal="left" vertical="center"/>
    </xf>
    <xf numFmtId="49" fontId="2" fillId="0" borderId="10" xfId="0" applyNumberFormat="1" applyFont="1" applyBorder="1" applyAlignment="1">
      <alignment horizontal="left" vertical="center"/>
    </xf>
    <xf numFmtId="49" fontId="2" fillId="0" borderId="11" xfId="0" applyNumberFormat="1" applyFont="1" applyBorder="1" applyAlignment="1">
      <alignment horizontal="left" vertical="center"/>
    </xf>
    <xf numFmtId="49" fontId="4" fillId="3" borderId="10" xfId="0" applyNumberFormat="1" applyFont="1" applyFill="1" applyBorder="1" applyAlignment="1">
      <alignment horizontal="left"/>
    </xf>
    <xf numFmtId="49" fontId="4" fillId="3" borderId="11" xfId="0" applyNumberFormat="1" applyFont="1" applyFill="1" applyBorder="1" applyAlignment="1">
      <alignment horizontal="left"/>
    </xf>
    <xf numFmtId="49" fontId="10" fillId="0" borderId="1" xfId="0" applyNumberFormat="1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vertical="top"/>
    </xf>
    <xf numFmtId="0" fontId="7" fillId="0" borderId="12" xfId="0" applyFont="1" applyFill="1" applyBorder="1" applyAlignment="1">
      <alignment vertical="top"/>
    </xf>
    <xf numFmtId="0" fontId="7" fillId="0" borderId="12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7" fillId="0" borderId="10" xfId="0" applyFont="1" applyFill="1" applyBorder="1" applyAlignment="1">
      <alignment horizontal="left" vertical="top"/>
    </xf>
    <xf numFmtId="0" fontId="7" fillId="0" borderId="12" xfId="0" applyFont="1" applyFill="1" applyBorder="1" applyAlignment="1">
      <alignment horizontal="left" vertical="top"/>
    </xf>
    <xf numFmtId="0" fontId="7" fillId="0" borderId="11" xfId="0" applyFont="1" applyFill="1" applyBorder="1" applyAlignment="1">
      <alignment horizontal="left" vertical="top"/>
    </xf>
    <xf numFmtId="0" fontId="0" fillId="2" borderId="34" xfId="0" applyFill="1" applyBorder="1" applyAlignment="1">
      <alignment horizontal="center" vertical="center" wrapText="1"/>
    </xf>
    <xf numFmtId="0" fontId="7" fillId="2" borderId="31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32" xfId="0" applyFont="1" applyFill="1" applyBorder="1" applyAlignment="1">
      <alignment horizontal="center" vertical="center" textRotation="90" wrapText="1"/>
    </xf>
    <xf numFmtId="0" fontId="7" fillId="2" borderId="4" xfId="0" applyFont="1" applyFill="1" applyBorder="1" applyAlignment="1">
      <alignment horizontal="center" vertical="center" textRotation="90" wrapText="1"/>
    </xf>
    <xf numFmtId="0" fontId="7" fillId="2" borderId="19" xfId="0" applyFont="1" applyFill="1" applyBorder="1" applyAlignment="1">
      <alignment horizontal="center" vertical="center" textRotation="90" wrapText="1"/>
    </xf>
    <xf numFmtId="0" fontId="7" fillId="2" borderId="20" xfId="0" applyFont="1" applyFill="1" applyBorder="1" applyAlignment="1">
      <alignment horizontal="center" vertical="center" textRotation="90" wrapText="1"/>
    </xf>
    <xf numFmtId="0" fontId="7" fillId="2" borderId="5" xfId="0" applyFont="1" applyFill="1" applyBorder="1" applyAlignment="1">
      <alignment horizontal="center" vertical="center" textRotation="90" wrapText="1"/>
    </xf>
    <xf numFmtId="0" fontId="7" fillId="2" borderId="2" xfId="0" applyFont="1" applyFill="1" applyBorder="1" applyAlignment="1">
      <alignment horizontal="center" vertical="center" textRotation="90" wrapText="1"/>
    </xf>
    <xf numFmtId="0" fontId="0" fillId="2" borderId="33" xfId="0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textRotation="90" wrapText="1"/>
    </xf>
    <xf numFmtId="0" fontId="10" fillId="2" borderId="2" xfId="0" applyFont="1" applyFill="1" applyBorder="1" applyAlignment="1">
      <alignment horizontal="center" vertical="center" textRotation="90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26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textRotation="90" wrapText="1"/>
    </xf>
    <xf numFmtId="0" fontId="2" fillId="2" borderId="5" xfId="0" applyFont="1" applyFill="1" applyBorder="1" applyAlignment="1">
      <alignment horizontal="center" vertical="center" textRotation="90" wrapText="1"/>
    </xf>
    <xf numFmtId="0" fontId="2" fillId="2" borderId="2" xfId="0" applyFont="1" applyFill="1" applyBorder="1" applyAlignment="1">
      <alignment horizontal="center" vertical="center" textRotation="90" wrapText="1"/>
    </xf>
    <xf numFmtId="0" fontId="2" fillId="2" borderId="2" xfId="0" applyFont="1" applyFill="1" applyBorder="1" applyAlignment="1">
      <alignment horizontal="center" vertical="center" wrapText="1"/>
    </xf>
    <xf numFmtId="4" fontId="9" fillId="0" borderId="10" xfId="0" applyNumberFormat="1" applyFont="1" applyBorder="1" applyAlignment="1">
      <alignment horizontal="center" vertical="top"/>
    </xf>
    <xf numFmtId="4" fontId="9" fillId="0" borderId="11" xfId="0" applyNumberFormat="1" applyFont="1" applyBorder="1" applyAlignment="1">
      <alignment horizontal="center" vertical="top"/>
    </xf>
    <xf numFmtId="4" fontId="0" fillId="0" borderId="10" xfId="0" applyNumberFormat="1" applyBorder="1" applyAlignment="1">
      <alignment horizontal="center" vertical="top"/>
    </xf>
    <xf numFmtId="4" fontId="0" fillId="0" borderId="11" xfId="0" applyNumberFormat="1" applyBorder="1" applyAlignment="1">
      <alignment horizontal="center" vertical="top"/>
    </xf>
    <xf numFmtId="0" fontId="2" fillId="5" borderId="21" xfId="0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4" fontId="10" fillId="0" borderId="10" xfId="0" applyNumberFormat="1" applyFont="1" applyBorder="1" applyAlignment="1">
      <alignment horizontal="right" vertical="center"/>
    </xf>
    <xf numFmtId="4" fontId="10" fillId="0" borderId="11" xfId="0" applyNumberFormat="1" applyFont="1" applyBorder="1" applyAlignment="1">
      <alignment horizontal="right" vertical="center"/>
    </xf>
    <xf numFmtId="0" fontId="9" fillId="5" borderId="21" xfId="0" applyFont="1" applyFill="1" applyBorder="1" applyAlignment="1">
      <alignment horizontal="center" vertical="center" wrapText="1"/>
    </xf>
    <xf numFmtId="0" fontId="9" fillId="5" borderId="23" xfId="0" applyFont="1" applyFill="1" applyBorder="1" applyAlignment="1">
      <alignment horizontal="center" vertical="center" wrapText="1"/>
    </xf>
    <xf numFmtId="0" fontId="9" fillId="5" borderId="22" xfId="0" applyFont="1" applyFill="1" applyBorder="1" applyAlignment="1">
      <alignment horizontal="center" vertical="center" wrapText="1"/>
    </xf>
    <xf numFmtId="0" fontId="0" fillId="5" borderId="16" xfId="0" applyFill="1" applyBorder="1" applyAlignment="1">
      <alignment horizontal="center" vertical="center" wrapText="1"/>
    </xf>
    <xf numFmtId="0" fontId="0" fillId="5" borderId="24" xfId="0" applyFill="1" applyBorder="1" applyAlignment="1">
      <alignment horizontal="center" vertical="center" wrapText="1"/>
    </xf>
    <xf numFmtId="0" fontId="0" fillId="5" borderId="17" xfId="0" applyFill="1" applyBorder="1" applyAlignment="1">
      <alignment horizontal="center" vertical="center" wrapText="1"/>
    </xf>
    <xf numFmtId="0" fontId="9" fillId="5" borderId="16" xfId="0" applyFont="1" applyFill="1" applyBorder="1" applyAlignment="1">
      <alignment horizontal="center" vertical="center" wrapText="1"/>
    </xf>
    <xf numFmtId="0" fontId="9" fillId="5" borderId="17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top" wrapText="1"/>
    </xf>
    <xf numFmtId="0" fontId="7" fillId="0" borderId="11" xfId="0" applyFont="1" applyFill="1" applyBorder="1" applyAlignment="1">
      <alignment horizontal="left" vertical="top" wrapText="1"/>
    </xf>
    <xf numFmtId="0" fontId="0" fillId="5" borderId="21" xfId="0" applyFill="1" applyBorder="1" applyAlignment="1">
      <alignment horizontal="center" vertical="center" wrapText="1"/>
    </xf>
    <xf numFmtId="0" fontId="0" fillId="5" borderId="22" xfId="0" applyFill="1" applyBorder="1" applyAlignment="1">
      <alignment horizontal="center" vertical="center" wrapText="1"/>
    </xf>
    <xf numFmtId="0" fontId="0" fillId="5" borderId="29" xfId="0" applyFill="1" applyBorder="1" applyAlignment="1">
      <alignment horizontal="center" vertical="center" wrapText="1"/>
    </xf>
    <xf numFmtId="0" fontId="0" fillId="5" borderId="30" xfId="0" applyFill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top" wrapText="1"/>
    </xf>
    <xf numFmtId="0" fontId="7" fillId="0" borderId="12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left" vertical="top" wrapText="1"/>
    </xf>
    <xf numFmtId="0" fontId="0" fillId="5" borderId="23" xfId="0" applyFill="1" applyBorder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10" fillId="0" borderId="10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 wrapText="1"/>
    </xf>
    <xf numFmtId="0" fontId="9" fillId="5" borderId="21" xfId="0" applyFont="1" applyFill="1" applyBorder="1" applyAlignment="1">
      <alignment horizontal="center" vertical="center"/>
    </xf>
    <xf numFmtId="0" fontId="9" fillId="5" borderId="22" xfId="0" applyFont="1" applyFill="1" applyBorder="1" applyAlignment="1">
      <alignment horizontal="center" vertical="center"/>
    </xf>
    <xf numFmtId="0" fontId="0" fillId="5" borderId="20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</cellXfs>
  <cellStyles count="1">
    <cellStyle name="Normální" xfId="0" builtinId="0"/>
  </cellStyles>
  <dxfs count="2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BA9CCD-EF45-48E7-800D-310AB71F9421}">
  <sheetPr codeName="List7">
    <tabColor rgb="FF0070C0"/>
    <pageSetUpPr fitToPage="1"/>
  </sheetPr>
  <dimension ref="A1:AX722"/>
  <sheetViews>
    <sheetView zoomScaleNormal="100" workbookViewId="0">
      <pane xSplit="21" ySplit="9" topLeftCell="AG10" activePane="bottomRight" state="frozen"/>
      <selection pane="topRight" activeCell="T1" sqref="T1"/>
      <selection pane="bottomLeft" activeCell="A10" sqref="A10"/>
      <selection pane="bottomRight" activeCell="F453" sqref="F453"/>
    </sheetView>
  </sheetViews>
  <sheetFormatPr defaultRowHeight="15" x14ac:dyDescent="0.25"/>
  <cols>
    <col min="1" max="6" width="3.28515625" customWidth="1"/>
    <col min="7" max="7" width="6.42578125" customWidth="1"/>
    <col min="8" max="8" width="7.140625" customWidth="1"/>
    <col min="9" max="9" width="3" customWidth="1"/>
    <col min="10" max="11" width="6.28515625" customWidth="1"/>
    <col min="12" max="12" width="12.28515625" customWidth="1"/>
    <col min="13" max="13" width="6.28515625" customWidth="1"/>
    <col min="14" max="14" width="5.28515625" customWidth="1"/>
    <col min="15" max="15" width="6" customWidth="1"/>
    <col min="16" max="16" width="4.42578125" customWidth="1"/>
    <col min="17" max="17" width="6.85546875" customWidth="1"/>
    <col min="18" max="18" width="7" customWidth="1"/>
    <col min="19" max="20" width="7.5703125" customWidth="1"/>
    <col min="21" max="21" width="6.85546875" customWidth="1"/>
    <col min="22" max="22" width="4.7109375" customWidth="1"/>
    <col min="23" max="24" width="5.5703125" customWidth="1"/>
    <col min="25" max="25" width="3.7109375" customWidth="1"/>
    <col min="26" max="26" width="5.140625" customWidth="1"/>
    <col min="27" max="28" width="5.5703125" customWidth="1"/>
    <col min="29" max="29" width="6.42578125" customWidth="1"/>
    <col min="30" max="30" width="7.140625" customWidth="1"/>
    <col min="31" max="36" width="6" customWidth="1"/>
    <col min="37" max="46" width="8.85546875" customWidth="1"/>
    <col min="47" max="47" width="8.5703125" customWidth="1"/>
    <col min="48" max="48" width="0.7109375" customWidth="1"/>
  </cols>
  <sheetData>
    <row r="1" spans="1:48" ht="18.75" x14ac:dyDescent="0.3">
      <c r="A1" s="1" t="s">
        <v>469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48" ht="15.75" thickBot="1" x14ac:dyDescent="0.3"/>
    <row r="3" spans="1:48" ht="15" customHeight="1" x14ac:dyDescent="0.25">
      <c r="A3" s="107" t="s">
        <v>14</v>
      </c>
      <c r="B3" s="96"/>
      <c r="C3" s="96"/>
      <c r="D3" s="96"/>
      <c r="E3" s="96"/>
      <c r="F3" s="96"/>
      <c r="G3" s="96"/>
      <c r="H3" s="96" t="s">
        <v>62</v>
      </c>
      <c r="I3" s="96"/>
      <c r="J3" s="96"/>
      <c r="K3" s="96"/>
      <c r="L3" s="96"/>
      <c r="M3" s="119" t="s">
        <v>1</v>
      </c>
      <c r="N3" s="120"/>
      <c r="O3" s="120"/>
      <c r="P3" s="120"/>
      <c r="Q3" s="120"/>
      <c r="R3" s="120"/>
      <c r="S3" s="120"/>
      <c r="T3" s="120"/>
      <c r="U3" s="120"/>
      <c r="V3" s="132" t="s">
        <v>39</v>
      </c>
      <c r="W3" s="133"/>
      <c r="X3" s="133"/>
      <c r="Y3" s="133"/>
      <c r="Z3" s="134"/>
      <c r="AA3" s="133" t="s">
        <v>52</v>
      </c>
      <c r="AB3" s="133"/>
      <c r="AC3" s="133"/>
      <c r="AD3" s="134"/>
      <c r="AE3" s="132" t="s">
        <v>482</v>
      </c>
      <c r="AF3" s="133"/>
      <c r="AG3" s="133"/>
      <c r="AH3" s="133"/>
      <c r="AI3" s="133"/>
      <c r="AJ3" s="134"/>
      <c r="AK3" s="132" t="s">
        <v>40</v>
      </c>
      <c r="AL3" s="133"/>
      <c r="AM3" s="133"/>
      <c r="AN3" s="133"/>
      <c r="AO3" s="133"/>
      <c r="AP3" s="133"/>
      <c r="AQ3" s="133"/>
      <c r="AR3" s="134"/>
      <c r="AS3" s="132" t="s">
        <v>484</v>
      </c>
      <c r="AT3" s="134"/>
      <c r="AU3" s="129" t="s">
        <v>93</v>
      </c>
      <c r="AV3" s="5"/>
    </row>
    <row r="4" spans="1:48" ht="15" customHeight="1" x14ac:dyDescent="0.25">
      <c r="A4" s="97" t="s">
        <v>184</v>
      </c>
      <c r="B4" s="98"/>
      <c r="C4" s="99"/>
      <c r="D4" s="100" t="s">
        <v>184</v>
      </c>
      <c r="E4" s="98"/>
      <c r="F4" s="99"/>
      <c r="G4" s="104" t="s">
        <v>13</v>
      </c>
      <c r="H4" s="108" t="s">
        <v>38</v>
      </c>
      <c r="I4" s="105" t="s">
        <v>37</v>
      </c>
      <c r="J4" s="112" t="s">
        <v>1128</v>
      </c>
      <c r="K4" s="113"/>
      <c r="L4" s="110" t="s">
        <v>0</v>
      </c>
      <c r="M4" s="121" t="s">
        <v>15</v>
      </c>
      <c r="N4" s="122"/>
      <c r="O4" s="122"/>
      <c r="P4" s="123"/>
      <c r="Q4" s="116" t="s">
        <v>2</v>
      </c>
      <c r="R4" s="117"/>
      <c r="S4" s="118"/>
      <c r="T4" s="124" t="s">
        <v>3</v>
      </c>
      <c r="U4" s="125"/>
      <c r="V4" s="135"/>
      <c r="W4" s="136"/>
      <c r="X4" s="136"/>
      <c r="Y4" s="136"/>
      <c r="Z4" s="137"/>
      <c r="AA4" s="136"/>
      <c r="AB4" s="136"/>
      <c r="AC4" s="136"/>
      <c r="AD4" s="137"/>
      <c r="AE4" s="135"/>
      <c r="AF4" s="136"/>
      <c r="AG4" s="136"/>
      <c r="AH4" s="136"/>
      <c r="AI4" s="136"/>
      <c r="AJ4" s="137"/>
      <c r="AK4" s="135"/>
      <c r="AL4" s="136"/>
      <c r="AM4" s="136"/>
      <c r="AN4" s="136"/>
      <c r="AO4" s="136"/>
      <c r="AP4" s="136"/>
      <c r="AQ4" s="136"/>
      <c r="AR4" s="137"/>
      <c r="AS4" s="135"/>
      <c r="AT4" s="137"/>
      <c r="AU4" s="130"/>
      <c r="AV4" s="9"/>
    </row>
    <row r="5" spans="1:48" ht="15" customHeight="1" x14ac:dyDescent="0.25">
      <c r="A5" s="101" t="s">
        <v>185</v>
      </c>
      <c r="B5" s="104" t="s">
        <v>186</v>
      </c>
      <c r="C5" s="104" t="s">
        <v>187</v>
      </c>
      <c r="D5" s="104" t="s">
        <v>185</v>
      </c>
      <c r="E5" s="104" t="s">
        <v>186</v>
      </c>
      <c r="F5" s="104" t="s">
        <v>187</v>
      </c>
      <c r="G5" s="105"/>
      <c r="H5" s="108"/>
      <c r="I5" s="105"/>
      <c r="J5" s="114"/>
      <c r="K5" s="115"/>
      <c r="L5" s="110"/>
      <c r="M5" s="16" t="s">
        <v>4</v>
      </c>
      <c r="N5" s="16" t="s">
        <v>5</v>
      </c>
      <c r="O5" s="16" t="s">
        <v>6</v>
      </c>
      <c r="P5" s="16" t="s">
        <v>19</v>
      </c>
      <c r="Q5" s="16" t="s">
        <v>7</v>
      </c>
      <c r="R5" s="16" t="s">
        <v>8</v>
      </c>
      <c r="S5" s="16" t="s">
        <v>46</v>
      </c>
      <c r="T5" s="126" t="s">
        <v>57</v>
      </c>
      <c r="U5" s="126" t="s">
        <v>58</v>
      </c>
      <c r="V5" s="126" t="s">
        <v>43</v>
      </c>
      <c r="W5" s="126" t="s">
        <v>44</v>
      </c>
      <c r="X5" s="126" t="s">
        <v>45</v>
      </c>
      <c r="Y5" s="143" t="s">
        <v>42</v>
      </c>
      <c r="Z5" s="126" t="s">
        <v>24</v>
      </c>
      <c r="AA5" s="124" t="s">
        <v>48</v>
      </c>
      <c r="AB5" s="125"/>
      <c r="AC5" s="124" t="s">
        <v>49</v>
      </c>
      <c r="AD5" s="125"/>
      <c r="AE5" s="126" t="s">
        <v>4</v>
      </c>
      <c r="AF5" s="126" t="s">
        <v>44</v>
      </c>
      <c r="AG5" s="126" t="s">
        <v>45</v>
      </c>
      <c r="AH5" s="126" t="s">
        <v>5</v>
      </c>
      <c r="AI5" s="126" t="s">
        <v>483</v>
      </c>
      <c r="AJ5" s="126" t="s">
        <v>50</v>
      </c>
      <c r="AK5" s="138" t="s">
        <v>35</v>
      </c>
      <c r="AL5" s="138" t="s">
        <v>20</v>
      </c>
      <c r="AM5" s="138" t="s">
        <v>36</v>
      </c>
      <c r="AN5" s="138" t="s">
        <v>21</v>
      </c>
      <c r="AO5" s="138" t="s">
        <v>41</v>
      </c>
      <c r="AP5" s="138" t="s">
        <v>65</v>
      </c>
      <c r="AQ5" s="141" t="s">
        <v>50</v>
      </c>
      <c r="AR5" s="142"/>
      <c r="AS5" s="138" t="s">
        <v>21</v>
      </c>
      <c r="AT5" s="138" t="s">
        <v>50</v>
      </c>
      <c r="AU5" s="131"/>
      <c r="AV5" s="9"/>
    </row>
    <row r="6" spans="1:48" ht="30" customHeight="1" x14ac:dyDescent="0.25">
      <c r="A6" s="102"/>
      <c r="B6" s="105"/>
      <c r="C6" s="105"/>
      <c r="D6" s="105"/>
      <c r="E6" s="105"/>
      <c r="F6" s="105"/>
      <c r="G6" s="105"/>
      <c r="H6" s="108"/>
      <c r="I6" s="105"/>
      <c r="J6" s="104" t="s">
        <v>1126</v>
      </c>
      <c r="K6" s="104" t="s">
        <v>1127</v>
      </c>
      <c r="L6" s="110"/>
      <c r="M6" s="16"/>
      <c r="N6" s="16"/>
      <c r="O6" s="16"/>
      <c r="P6" s="16"/>
      <c r="Q6" s="19" t="s">
        <v>9</v>
      </c>
      <c r="R6" s="16"/>
      <c r="S6" s="16" t="s">
        <v>47</v>
      </c>
      <c r="T6" s="127"/>
      <c r="U6" s="127"/>
      <c r="V6" s="127"/>
      <c r="W6" s="127"/>
      <c r="X6" s="127"/>
      <c r="Y6" s="144"/>
      <c r="Z6" s="127"/>
      <c r="AA6" s="139" t="s">
        <v>20</v>
      </c>
      <c r="AB6" s="139" t="s">
        <v>59</v>
      </c>
      <c r="AC6" s="139" t="s">
        <v>20</v>
      </c>
      <c r="AD6" s="139" t="s">
        <v>59</v>
      </c>
      <c r="AE6" s="127"/>
      <c r="AF6" s="127"/>
      <c r="AG6" s="127"/>
      <c r="AH6" s="127"/>
      <c r="AI6" s="127"/>
      <c r="AJ6" s="127"/>
      <c r="AK6" s="130"/>
      <c r="AL6" s="130"/>
      <c r="AM6" s="130"/>
      <c r="AN6" s="130"/>
      <c r="AO6" s="130"/>
      <c r="AP6" s="130"/>
      <c r="AQ6" s="138" t="s">
        <v>51</v>
      </c>
      <c r="AR6" s="138" t="s">
        <v>49</v>
      </c>
      <c r="AS6" s="130"/>
      <c r="AT6" s="130"/>
      <c r="AU6" s="126" t="s">
        <v>94</v>
      </c>
      <c r="AV6" s="9"/>
    </row>
    <row r="7" spans="1:48" x14ac:dyDescent="0.25">
      <c r="A7" s="102"/>
      <c r="B7" s="105"/>
      <c r="C7" s="105"/>
      <c r="D7" s="105"/>
      <c r="E7" s="105"/>
      <c r="F7" s="105"/>
      <c r="G7" s="105"/>
      <c r="H7" s="108"/>
      <c r="I7" s="105"/>
      <c r="J7" s="105"/>
      <c r="K7" s="105"/>
      <c r="L7" s="110"/>
      <c r="M7" s="16"/>
      <c r="N7" s="16"/>
      <c r="O7" s="16"/>
      <c r="P7" s="16"/>
      <c r="Q7" s="16"/>
      <c r="R7" s="16"/>
      <c r="S7" s="16"/>
      <c r="T7" s="127"/>
      <c r="U7" s="127"/>
      <c r="V7" s="127"/>
      <c r="W7" s="127"/>
      <c r="X7" s="127"/>
      <c r="Y7" s="144"/>
      <c r="Z7" s="127"/>
      <c r="AA7" s="140"/>
      <c r="AB7" s="140"/>
      <c r="AC7" s="140"/>
      <c r="AD7" s="140"/>
      <c r="AE7" s="127"/>
      <c r="AF7" s="127"/>
      <c r="AG7" s="127"/>
      <c r="AH7" s="127"/>
      <c r="AI7" s="127"/>
      <c r="AJ7" s="127"/>
      <c r="AK7" s="130"/>
      <c r="AL7" s="130"/>
      <c r="AM7" s="130"/>
      <c r="AN7" s="130"/>
      <c r="AO7" s="130"/>
      <c r="AP7" s="130"/>
      <c r="AQ7" s="130"/>
      <c r="AR7" s="130"/>
      <c r="AS7" s="130"/>
      <c r="AT7" s="130"/>
      <c r="AU7" s="127"/>
      <c r="AV7" s="9"/>
    </row>
    <row r="8" spans="1:48" x14ac:dyDescent="0.25">
      <c r="A8" s="103"/>
      <c r="B8" s="106"/>
      <c r="C8" s="106"/>
      <c r="D8" s="106"/>
      <c r="E8" s="106"/>
      <c r="F8" s="106"/>
      <c r="G8" s="106"/>
      <c r="H8" s="109"/>
      <c r="I8" s="106"/>
      <c r="J8" s="106"/>
      <c r="K8" s="106"/>
      <c r="L8" s="111"/>
      <c r="M8" s="16" t="s">
        <v>10</v>
      </c>
      <c r="N8" s="16" t="s">
        <v>10</v>
      </c>
      <c r="O8" s="16" t="s">
        <v>10</v>
      </c>
      <c r="P8" s="16" t="s">
        <v>11</v>
      </c>
      <c r="Q8" s="16" t="s">
        <v>22</v>
      </c>
      <c r="R8" s="16" t="s">
        <v>22</v>
      </c>
      <c r="S8" s="16" t="s">
        <v>22</v>
      </c>
      <c r="T8" s="16" t="s">
        <v>22</v>
      </c>
      <c r="U8" s="16" t="s">
        <v>22</v>
      </c>
      <c r="V8" s="20" t="s">
        <v>11</v>
      </c>
      <c r="W8" s="16" t="s">
        <v>10</v>
      </c>
      <c r="X8" s="16" t="s">
        <v>10</v>
      </c>
      <c r="Y8" s="145"/>
      <c r="Z8" s="146"/>
      <c r="AA8" s="16" t="s">
        <v>22</v>
      </c>
      <c r="AB8" s="16" t="s">
        <v>22</v>
      </c>
      <c r="AC8" s="16" t="s">
        <v>22</v>
      </c>
      <c r="AD8" s="16" t="s">
        <v>22</v>
      </c>
      <c r="AE8" s="16" t="s">
        <v>10</v>
      </c>
      <c r="AF8" s="16" t="s">
        <v>10</v>
      </c>
      <c r="AG8" s="16" t="s">
        <v>10</v>
      </c>
      <c r="AH8" s="16" t="s">
        <v>10</v>
      </c>
      <c r="AI8" s="16" t="s">
        <v>10</v>
      </c>
      <c r="AJ8" s="16" t="s">
        <v>22</v>
      </c>
      <c r="AK8" s="16" t="s">
        <v>22</v>
      </c>
      <c r="AL8" s="16" t="s">
        <v>22</v>
      </c>
      <c r="AM8" s="16" t="s">
        <v>23</v>
      </c>
      <c r="AN8" s="16" t="s">
        <v>23</v>
      </c>
      <c r="AO8" s="16" t="s">
        <v>10</v>
      </c>
      <c r="AP8" s="16" t="s">
        <v>10</v>
      </c>
      <c r="AQ8" s="16" t="s">
        <v>22</v>
      </c>
      <c r="AR8" s="16" t="s">
        <v>22</v>
      </c>
      <c r="AS8" s="16" t="s">
        <v>23</v>
      </c>
      <c r="AT8" s="16" t="s">
        <v>22</v>
      </c>
      <c r="AU8" s="16" t="s">
        <v>10</v>
      </c>
      <c r="AV8" s="9"/>
    </row>
    <row r="9" spans="1:48" ht="3.75" customHeight="1" thickBot="1" x14ac:dyDescent="0.3">
      <c r="A9" s="10"/>
      <c r="B9" s="14"/>
      <c r="C9" s="14"/>
      <c r="D9" s="14"/>
      <c r="E9" s="14"/>
      <c r="F9" s="14"/>
      <c r="G9" s="14"/>
      <c r="H9" s="128"/>
      <c r="I9" s="128"/>
      <c r="J9" s="128"/>
      <c r="K9" s="128"/>
      <c r="L9" s="128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71"/>
      <c r="AF9" s="71"/>
      <c r="AG9" s="71"/>
      <c r="AH9" s="71"/>
      <c r="AI9" s="71"/>
      <c r="AJ9" s="71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1"/>
    </row>
    <row r="10" spans="1:48" x14ac:dyDescent="0.25">
      <c r="A10" s="38" t="s">
        <v>207</v>
      </c>
      <c r="B10" s="67"/>
      <c r="C10" s="39"/>
      <c r="D10" s="40"/>
      <c r="E10" s="66"/>
      <c r="F10" s="41"/>
      <c r="G10" s="42"/>
      <c r="H10" s="48"/>
      <c r="I10" s="48"/>
      <c r="J10" s="82"/>
      <c r="K10" s="83"/>
      <c r="L10" s="47"/>
      <c r="M10" s="3"/>
      <c r="N10" s="3"/>
      <c r="O10" s="22"/>
      <c r="P10" s="23"/>
      <c r="Q10" s="3"/>
      <c r="R10" s="3"/>
      <c r="S10" s="3"/>
      <c r="T10" s="3"/>
      <c r="U10" s="3"/>
      <c r="V10" s="23"/>
      <c r="W10" s="3"/>
      <c r="X10" s="3"/>
      <c r="Y10" s="17"/>
      <c r="Z10" s="17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12" t="str">
        <f t="shared" ref="AK10:AK14" si="0">IF(((M10*N10)-Q10-R10-S10+T10+U10)=0,"",((M10*N10)-Q10-R10-S10+T10+U10))</f>
        <v/>
      </c>
      <c r="AL10" s="12" t="str">
        <f t="shared" ref="AL10:AL14" si="1">IF(PRODUCT(P10,AK10)=0,"",P10*AK10)</f>
        <v/>
      </c>
      <c r="AM10" s="12" t="str">
        <f t="shared" ref="AM10:AM14" si="2">IF(PRODUCT(AK10,O10)=0,"",AK10*O10)</f>
        <v/>
      </c>
      <c r="AN10" s="12" t="str">
        <f t="shared" ref="AN10:AN14" si="3">IF(PRODUCT(AM10,P10)=0,"",AM10*P10)</f>
        <v/>
      </c>
      <c r="AO10" s="12" t="str">
        <f t="shared" ref="AO10:AO14" si="4">IF(N10*V10-W10+X10=0,"",N10*V10-W10+X10)</f>
        <v/>
      </c>
      <c r="AP10" s="12" t="str">
        <f t="shared" ref="AP10:AP14" si="5">IF(PRODUCT(M10,P10)=0,"",M10*P10)</f>
        <v/>
      </c>
      <c r="AQ10" s="12" t="str">
        <f t="shared" ref="AQ10:AQ14" si="6">IF(AA10+AB10=0,"",AA10+AB10)</f>
        <v/>
      </c>
      <c r="AR10" s="12" t="str">
        <f t="shared" ref="AR10:AR14" si="7">IF(AC10+AD10=0,"",AC10+AD10)</f>
        <v/>
      </c>
      <c r="AS10" s="12" t="str">
        <f t="shared" ref="AS10:AS73" si="8">IF((AE10*AH10*AI10)*P10=0,"",(AE10*AH10*AI10)*P10)</f>
        <v/>
      </c>
      <c r="AT10" s="12" t="str">
        <f t="shared" ref="AT10:AT73" si="9">IF(AJ10*P10=0,"",AJ10*P10)</f>
        <v/>
      </c>
      <c r="AU10" s="12" t="str">
        <f t="shared" ref="AU10:AU73" si="10">IF(OR(H10="s1",H10="s2",H10="s3",H10="s4",H10="s4*",H10="s5",H10="s12",H10="s16"),IF(M10&gt;=4,M10,""),"")</f>
        <v/>
      </c>
      <c r="AV10" s="17"/>
    </row>
    <row r="11" spans="1:48" x14ac:dyDescent="0.25">
      <c r="A11" s="43" t="s">
        <v>275</v>
      </c>
      <c r="B11" s="52"/>
      <c r="C11" s="44"/>
      <c r="D11" s="45"/>
      <c r="E11" s="52"/>
      <c r="F11" s="44"/>
      <c r="G11" s="76" t="s">
        <v>223</v>
      </c>
      <c r="H11" s="48" t="s">
        <v>334</v>
      </c>
      <c r="I11" s="48"/>
      <c r="J11" s="84"/>
      <c r="K11" s="85"/>
      <c r="L11" s="47" t="s">
        <v>330</v>
      </c>
      <c r="M11" s="3">
        <f>0.25+2.4+0.25</f>
        <v>2.9</v>
      </c>
      <c r="N11" s="3">
        <f>3.3+0.15</f>
        <v>3.4499999999999997</v>
      </c>
      <c r="O11" s="22">
        <v>0.35</v>
      </c>
      <c r="P11" s="23">
        <v>1</v>
      </c>
      <c r="Q11" s="3"/>
      <c r="R11" s="3">
        <f>2.4*1.5</f>
        <v>3.5999999999999996</v>
      </c>
      <c r="S11" s="3"/>
      <c r="T11" s="3"/>
      <c r="U11" s="3"/>
      <c r="V11" s="23"/>
      <c r="W11" s="3"/>
      <c r="X11" s="3"/>
      <c r="Y11" s="17"/>
      <c r="Z11" s="17"/>
      <c r="AA11" s="3"/>
      <c r="AB11" s="3"/>
      <c r="AC11" s="3">
        <f>M11*N11*2+0.1*3.45</f>
        <v>20.354999999999997</v>
      </c>
      <c r="AD11" s="3">
        <f>-2.4*1.5*2</f>
        <v>-7.1999999999999993</v>
      </c>
      <c r="AE11" s="3"/>
      <c r="AF11" s="3"/>
      <c r="AG11" s="3"/>
      <c r="AH11" s="3"/>
      <c r="AI11" s="3"/>
      <c r="AJ11" s="3"/>
      <c r="AK11" s="12">
        <f t="shared" si="0"/>
        <v>6.4049999999999994</v>
      </c>
      <c r="AL11" s="12">
        <f t="shared" si="1"/>
        <v>6.4049999999999994</v>
      </c>
      <c r="AM11" s="12">
        <f t="shared" si="2"/>
        <v>2.2417499999999997</v>
      </c>
      <c r="AN11" s="12">
        <f t="shared" si="3"/>
        <v>2.2417499999999997</v>
      </c>
      <c r="AO11" s="12" t="str">
        <f t="shared" si="4"/>
        <v/>
      </c>
      <c r="AP11" s="12">
        <f t="shared" si="5"/>
        <v>2.9</v>
      </c>
      <c r="AQ11" s="12" t="str">
        <f t="shared" si="6"/>
        <v/>
      </c>
      <c r="AR11" s="12">
        <f t="shared" si="7"/>
        <v>13.154999999999998</v>
      </c>
      <c r="AS11" s="12" t="str">
        <f t="shared" si="8"/>
        <v/>
      </c>
      <c r="AT11" s="12" t="str">
        <f t="shared" si="9"/>
        <v/>
      </c>
      <c r="AU11" s="12" t="str">
        <f t="shared" si="10"/>
        <v/>
      </c>
      <c r="AV11" s="17"/>
    </row>
    <row r="12" spans="1:48" x14ac:dyDescent="0.25">
      <c r="A12" s="43" t="s">
        <v>275</v>
      </c>
      <c r="B12" s="52"/>
      <c r="C12" s="44"/>
      <c r="D12" s="45"/>
      <c r="E12" s="52"/>
      <c r="F12" s="44"/>
      <c r="G12" s="76"/>
      <c r="H12" s="48" t="s">
        <v>334</v>
      </c>
      <c r="I12" s="48"/>
      <c r="J12" s="84"/>
      <c r="K12" s="85"/>
      <c r="L12" s="47"/>
      <c r="M12" s="3">
        <v>2.4</v>
      </c>
      <c r="N12" s="3">
        <v>1.5</v>
      </c>
      <c r="O12" s="22">
        <v>0.25</v>
      </c>
      <c r="P12" s="23">
        <v>1</v>
      </c>
      <c r="Q12" s="3"/>
      <c r="R12" s="3"/>
      <c r="S12" s="3"/>
      <c r="T12" s="3"/>
      <c r="U12" s="3"/>
      <c r="V12" s="23"/>
      <c r="W12" s="3"/>
      <c r="X12" s="3"/>
      <c r="Y12" s="17"/>
      <c r="Z12" s="17"/>
      <c r="AA12" s="3">
        <f>(2.4*2+1.5*2)*0.1</f>
        <v>0.78</v>
      </c>
      <c r="AB12" s="3"/>
      <c r="AC12" s="3">
        <f>M12*N12*2</f>
        <v>7.1999999999999993</v>
      </c>
      <c r="AD12" s="3"/>
      <c r="AE12" s="3"/>
      <c r="AF12" s="3"/>
      <c r="AG12" s="3"/>
      <c r="AH12" s="3"/>
      <c r="AI12" s="3"/>
      <c r="AJ12" s="3"/>
      <c r="AK12" s="12">
        <f t="shared" ref="AK12:AK13" si="11">IF(((M12*N12)-Q12-R12-S12+T12+U12)=0,"",((M12*N12)-Q12-R12-S12+T12+U12))</f>
        <v>3.5999999999999996</v>
      </c>
      <c r="AL12" s="12">
        <f t="shared" ref="AL12:AL13" si="12">IF(PRODUCT(P12,AK12)=0,"",P12*AK12)</f>
        <v>3.5999999999999996</v>
      </c>
      <c r="AM12" s="12">
        <f t="shared" ref="AM12:AM13" si="13">IF(PRODUCT(AK12,O12)=0,"",AK12*O12)</f>
        <v>0.89999999999999991</v>
      </c>
      <c r="AN12" s="12">
        <f t="shared" ref="AN12:AN13" si="14">IF(PRODUCT(AM12,P12)=0,"",AM12*P12)</f>
        <v>0.89999999999999991</v>
      </c>
      <c r="AO12" s="12" t="str">
        <f t="shared" ref="AO12:AO13" si="15">IF(N12*V12-W12+X12=0,"",N12*V12-W12+X12)</f>
        <v/>
      </c>
      <c r="AP12" s="12">
        <f t="shared" ref="AP12:AP13" si="16">IF(PRODUCT(M12,P12)=0,"",M12*P12)</f>
        <v>2.4</v>
      </c>
      <c r="AQ12" s="12">
        <f t="shared" ref="AQ12:AQ13" si="17">IF(AA12+AB12=0,"",AA12+AB12)</f>
        <v>0.78</v>
      </c>
      <c r="AR12" s="12">
        <f t="shared" ref="AR12:AR13" si="18">IF(AC12+AD12=0,"",AC12+AD12)</f>
        <v>7.1999999999999993</v>
      </c>
      <c r="AS12" s="12" t="str">
        <f t="shared" si="8"/>
        <v/>
      </c>
      <c r="AT12" s="12" t="str">
        <f t="shared" si="9"/>
        <v/>
      </c>
      <c r="AU12" s="12" t="str">
        <f t="shared" si="10"/>
        <v/>
      </c>
      <c r="AV12" s="17"/>
    </row>
    <row r="13" spans="1:48" x14ac:dyDescent="0.25">
      <c r="A13" s="43" t="s">
        <v>275</v>
      </c>
      <c r="B13" s="52"/>
      <c r="C13" s="44"/>
      <c r="D13" s="45"/>
      <c r="E13" s="52"/>
      <c r="F13" s="44"/>
      <c r="G13" s="76" t="s">
        <v>224</v>
      </c>
      <c r="H13" s="48" t="s">
        <v>334</v>
      </c>
      <c r="I13" s="48"/>
      <c r="J13" s="84"/>
      <c r="K13" s="85"/>
      <c r="L13" s="47"/>
      <c r="M13" s="3">
        <f>0.4+1.9+5.95+2-2.9</f>
        <v>7.35</v>
      </c>
      <c r="N13" s="3">
        <f>3.3+0.15</f>
        <v>3.4499999999999997</v>
      </c>
      <c r="O13" s="22">
        <v>0.25</v>
      </c>
      <c r="P13" s="23">
        <v>1</v>
      </c>
      <c r="Q13" s="3"/>
      <c r="R13" s="3"/>
      <c r="S13" s="3"/>
      <c r="T13" s="3"/>
      <c r="U13" s="3"/>
      <c r="V13" s="23"/>
      <c r="W13" s="3"/>
      <c r="X13" s="3"/>
      <c r="Y13" s="17"/>
      <c r="Z13" s="17"/>
      <c r="AA13" s="3">
        <f>0.25*3.45</f>
        <v>0.86250000000000004</v>
      </c>
      <c r="AB13" s="3"/>
      <c r="AC13" s="3">
        <f>M13*N13*2</f>
        <v>50.714999999999996</v>
      </c>
      <c r="AD13" s="3"/>
      <c r="AE13" s="3"/>
      <c r="AF13" s="3"/>
      <c r="AG13" s="3"/>
      <c r="AH13" s="3"/>
      <c r="AI13" s="3"/>
      <c r="AJ13" s="3"/>
      <c r="AK13" s="12">
        <f t="shared" si="11"/>
        <v>25.357499999999998</v>
      </c>
      <c r="AL13" s="12">
        <f t="shared" si="12"/>
        <v>25.357499999999998</v>
      </c>
      <c r="AM13" s="12">
        <f t="shared" si="13"/>
        <v>6.3393749999999995</v>
      </c>
      <c r="AN13" s="12">
        <f t="shared" si="14"/>
        <v>6.3393749999999995</v>
      </c>
      <c r="AO13" s="12" t="str">
        <f t="shared" si="15"/>
        <v/>
      </c>
      <c r="AP13" s="12">
        <f t="shared" si="16"/>
        <v>7.35</v>
      </c>
      <c r="AQ13" s="12">
        <f t="shared" si="17"/>
        <v>0.86250000000000004</v>
      </c>
      <c r="AR13" s="12">
        <f t="shared" si="18"/>
        <v>50.714999999999996</v>
      </c>
      <c r="AS13" s="12" t="str">
        <f t="shared" si="8"/>
        <v/>
      </c>
      <c r="AT13" s="12" t="str">
        <f t="shared" si="9"/>
        <v/>
      </c>
      <c r="AU13" s="12" t="str">
        <f t="shared" si="10"/>
        <v/>
      </c>
      <c r="AV13" s="17"/>
    </row>
    <row r="14" spans="1:48" x14ac:dyDescent="0.25">
      <c r="A14" s="43" t="s">
        <v>275</v>
      </c>
      <c r="B14" s="52"/>
      <c r="C14" s="44"/>
      <c r="D14" s="45"/>
      <c r="E14" s="52"/>
      <c r="F14" s="44"/>
      <c r="G14" s="76" t="s">
        <v>225</v>
      </c>
      <c r="H14" s="48" t="s">
        <v>334</v>
      </c>
      <c r="I14" s="48"/>
      <c r="J14" s="84"/>
      <c r="K14" s="85"/>
      <c r="L14" s="47"/>
      <c r="M14" s="3">
        <f>28.2-0.35+0.9-0.25-M15-M16</f>
        <v>16.999999999999993</v>
      </c>
      <c r="N14" s="3">
        <f>3.25+0.2</f>
        <v>3.45</v>
      </c>
      <c r="O14" s="22">
        <v>0.25</v>
      </c>
      <c r="P14" s="23">
        <v>1</v>
      </c>
      <c r="Q14" s="3"/>
      <c r="R14" s="3"/>
      <c r="S14" s="3"/>
      <c r="T14" s="3"/>
      <c r="U14" s="3"/>
      <c r="V14" s="23"/>
      <c r="W14" s="3"/>
      <c r="X14" s="3"/>
      <c r="Y14" s="17"/>
      <c r="Z14" s="17"/>
      <c r="AA14" s="3"/>
      <c r="AB14" s="3"/>
      <c r="AC14" s="3">
        <f>M14*N14*2</f>
        <v>117.29999999999995</v>
      </c>
      <c r="AD14" s="3"/>
      <c r="AE14" s="3"/>
      <c r="AF14" s="3"/>
      <c r="AG14" s="3"/>
      <c r="AH14" s="3"/>
      <c r="AI14" s="3"/>
      <c r="AJ14" s="3"/>
      <c r="AK14" s="12">
        <f t="shared" si="0"/>
        <v>58.649999999999977</v>
      </c>
      <c r="AL14" s="12">
        <f t="shared" si="1"/>
        <v>58.649999999999977</v>
      </c>
      <c r="AM14" s="12">
        <f t="shared" si="2"/>
        <v>14.662499999999994</v>
      </c>
      <c r="AN14" s="12">
        <f t="shared" si="3"/>
        <v>14.662499999999994</v>
      </c>
      <c r="AO14" s="12" t="str">
        <f t="shared" si="4"/>
        <v/>
      </c>
      <c r="AP14" s="12">
        <f t="shared" si="5"/>
        <v>16.999999999999993</v>
      </c>
      <c r="AQ14" s="12" t="str">
        <f t="shared" si="6"/>
        <v/>
      </c>
      <c r="AR14" s="12">
        <f t="shared" si="7"/>
        <v>117.29999999999995</v>
      </c>
      <c r="AS14" s="12" t="str">
        <f t="shared" si="8"/>
        <v/>
      </c>
      <c r="AT14" s="12" t="str">
        <f t="shared" si="9"/>
        <v/>
      </c>
      <c r="AU14" s="12" t="str">
        <f t="shared" si="10"/>
        <v/>
      </c>
      <c r="AV14" s="17"/>
    </row>
    <row r="15" spans="1:48" x14ac:dyDescent="0.25">
      <c r="A15" s="43" t="s">
        <v>275</v>
      </c>
      <c r="B15" s="52"/>
      <c r="C15" s="44"/>
      <c r="D15" s="45"/>
      <c r="E15" s="52"/>
      <c r="F15" s="44"/>
      <c r="G15" s="76"/>
      <c r="H15" s="48" t="s">
        <v>334</v>
      </c>
      <c r="I15" s="48"/>
      <c r="J15" s="84"/>
      <c r="K15" s="85"/>
      <c r="L15" s="47"/>
      <c r="M15" s="3">
        <f>0.25+6.65+0.2</f>
        <v>7.1000000000000005</v>
      </c>
      <c r="N15" s="3">
        <f>3.1+0.2</f>
        <v>3.3000000000000003</v>
      </c>
      <c r="O15" s="22">
        <v>0.25</v>
      </c>
      <c r="P15" s="23">
        <v>1</v>
      </c>
      <c r="Q15" s="3"/>
      <c r="R15" s="3"/>
      <c r="S15" s="3"/>
      <c r="T15" s="3"/>
      <c r="U15" s="3"/>
      <c r="V15" s="23"/>
      <c r="W15" s="3"/>
      <c r="X15" s="3"/>
      <c r="Y15" s="17"/>
      <c r="Z15" s="17"/>
      <c r="AA15" s="3"/>
      <c r="AB15" s="3"/>
      <c r="AC15" s="3">
        <f t="shared" ref="AC15:AC33" si="19">M15*N15*2</f>
        <v>46.860000000000007</v>
      </c>
      <c r="AD15" s="3"/>
      <c r="AE15" s="3"/>
      <c r="AF15" s="3"/>
      <c r="AG15" s="3"/>
      <c r="AH15" s="3"/>
      <c r="AI15" s="3"/>
      <c r="AJ15" s="3"/>
      <c r="AK15" s="12">
        <f t="shared" ref="AK15:AK20" si="20">IF(((M15*N15)-Q15-R15-S15+T15+U15)=0,"",((M15*N15)-Q15-R15-S15+T15+U15))</f>
        <v>23.430000000000003</v>
      </c>
      <c r="AL15" s="12">
        <f t="shared" ref="AL15:AL20" si="21">IF(PRODUCT(P15,AK15)=0,"",P15*AK15)</f>
        <v>23.430000000000003</v>
      </c>
      <c r="AM15" s="12">
        <f t="shared" ref="AM15:AM20" si="22">IF(PRODUCT(AK15,O15)=0,"",AK15*O15)</f>
        <v>5.8575000000000008</v>
      </c>
      <c r="AN15" s="12">
        <f t="shared" ref="AN15:AN20" si="23">IF(PRODUCT(AM15,P15)=0,"",AM15*P15)</f>
        <v>5.8575000000000008</v>
      </c>
      <c r="AO15" s="12" t="str">
        <f t="shared" ref="AO15:AO20" si="24">IF(N15*V15-W15+X15=0,"",N15*V15-W15+X15)</f>
        <v/>
      </c>
      <c r="AP15" s="12">
        <f t="shared" ref="AP15:AP20" si="25">IF(PRODUCT(M15,P15)=0,"",M15*P15)</f>
        <v>7.1000000000000005</v>
      </c>
      <c r="AQ15" s="12" t="str">
        <f t="shared" ref="AQ15:AQ20" si="26">IF(AA15+AB15=0,"",AA15+AB15)</f>
        <v/>
      </c>
      <c r="AR15" s="12">
        <f t="shared" ref="AR15:AR20" si="27">IF(AC15+AD15=0,"",AC15+AD15)</f>
        <v>46.860000000000007</v>
      </c>
      <c r="AS15" s="12" t="str">
        <f t="shared" si="8"/>
        <v/>
      </c>
      <c r="AT15" s="12" t="str">
        <f t="shared" si="9"/>
        <v/>
      </c>
      <c r="AU15" s="12" t="str">
        <f t="shared" si="10"/>
        <v/>
      </c>
      <c r="AV15" s="17"/>
    </row>
    <row r="16" spans="1:48" x14ac:dyDescent="0.25">
      <c r="A16" s="43" t="s">
        <v>275</v>
      </c>
      <c r="B16" s="52"/>
      <c r="C16" s="44"/>
      <c r="D16" s="45"/>
      <c r="E16" s="52"/>
      <c r="F16" s="46"/>
      <c r="G16" s="76"/>
      <c r="H16" s="48" t="s">
        <v>334</v>
      </c>
      <c r="I16" s="48"/>
      <c r="J16" s="84"/>
      <c r="K16" s="85"/>
      <c r="L16" s="47"/>
      <c r="M16" s="3">
        <f>0.25+4.15</f>
        <v>4.4000000000000004</v>
      </c>
      <c r="N16" s="3">
        <f>3.15+0.2</f>
        <v>3.35</v>
      </c>
      <c r="O16" s="22">
        <v>0.25</v>
      </c>
      <c r="P16" s="23">
        <v>1</v>
      </c>
      <c r="Q16" s="3"/>
      <c r="R16" s="3"/>
      <c r="S16" s="3"/>
      <c r="T16" s="3"/>
      <c r="U16" s="3"/>
      <c r="V16" s="23"/>
      <c r="W16" s="3"/>
      <c r="X16" s="3"/>
      <c r="Y16" s="17"/>
      <c r="Z16" s="17"/>
      <c r="AA16" s="3"/>
      <c r="AB16" s="3"/>
      <c r="AC16" s="3">
        <f t="shared" si="19"/>
        <v>29.480000000000004</v>
      </c>
      <c r="AD16" s="3"/>
      <c r="AE16" s="3"/>
      <c r="AF16" s="3"/>
      <c r="AG16" s="3"/>
      <c r="AH16" s="3"/>
      <c r="AI16" s="3"/>
      <c r="AJ16" s="3"/>
      <c r="AK16" s="12">
        <f t="shared" si="20"/>
        <v>14.740000000000002</v>
      </c>
      <c r="AL16" s="12">
        <f t="shared" si="21"/>
        <v>14.740000000000002</v>
      </c>
      <c r="AM16" s="12">
        <f t="shared" si="22"/>
        <v>3.6850000000000005</v>
      </c>
      <c r="AN16" s="12">
        <f t="shared" si="23"/>
        <v>3.6850000000000005</v>
      </c>
      <c r="AO16" s="12" t="str">
        <f t="shared" si="24"/>
        <v/>
      </c>
      <c r="AP16" s="12">
        <f t="shared" si="25"/>
        <v>4.4000000000000004</v>
      </c>
      <c r="AQ16" s="12" t="str">
        <f t="shared" si="26"/>
        <v/>
      </c>
      <c r="AR16" s="12">
        <f t="shared" si="27"/>
        <v>29.480000000000004</v>
      </c>
      <c r="AS16" s="12" t="str">
        <f t="shared" si="8"/>
        <v/>
      </c>
      <c r="AT16" s="12" t="str">
        <f t="shared" si="9"/>
        <v/>
      </c>
      <c r="AU16" s="12" t="str">
        <f t="shared" si="10"/>
        <v/>
      </c>
      <c r="AV16" s="17"/>
    </row>
    <row r="17" spans="1:50" x14ac:dyDescent="0.25">
      <c r="A17" s="43" t="s">
        <v>275</v>
      </c>
      <c r="B17" s="52"/>
      <c r="C17" s="44"/>
      <c r="D17" s="43"/>
      <c r="E17" s="52"/>
      <c r="F17" s="46"/>
      <c r="G17" s="76" t="s">
        <v>226</v>
      </c>
      <c r="H17" s="48" t="s">
        <v>334</v>
      </c>
      <c r="I17" s="48"/>
      <c r="J17" s="84"/>
      <c r="K17" s="85"/>
      <c r="L17" s="47"/>
      <c r="M17" s="3">
        <f>13.45-M18</f>
        <v>11.719999999999999</v>
      </c>
      <c r="N17" s="3">
        <f>3.15+0.2</f>
        <v>3.35</v>
      </c>
      <c r="O17" s="22">
        <v>0.25</v>
      </c>
      <c r="P17" s="23">
        <v>1</v>
      </c>
      <c r="Q17" s="3"/>
      <c r="R17" s="3"/>
      <c r="S17" s="3"/>
      <c r="T17" s="3"/>
      <c r="U17" s="3"/>
      <c r="V17" s="23"/>
      <c r="W17" s="3"/>
      <c r="X17" s="3"/>
      <c r="Y17" s="17"/>
      <c r="Z17" s="17"/>
      <c r="AA17" s="3"/>
      <c r="AB17" s="3"/>
      <c r="AC17" s="3">
        <f t="shared" si="19"/>
        <v>78.524000000000001</v>
      </c>
      <c r="AD17" s="3">
        <f>-0.2*3.35</f>
        <v>-0.67</v>
      </c>
      <c r="AE17" s="3"/>
      <c r="AF17" s="3"/>
      <c r="AG17" s="3"/>
      <c r="AH17" s="3"/>
      <c r="AI17" s="3"/>
      <c r="AJ17" s="3"/>
      <c r="AK17" s="12">
        <f t="shared" si="20"/>
        <v>39.262</v>
      </c>
      <c r="AL17" s="12">
        <f t="shared" si="21"/>
        <v>39.262</v>
      </c>
      <c r="AM17" s="12">
        <f t="shared" si="22"/>
        <v>9.8155000000000001</v>
      </c>
      <c r="AN17" s="12">
        <f t="shared" si="23"/>
        <v>9.8155000000000001</v>
      </c>
      <c r="AO17" s="12" t="str">
        <f t="shared" si="24"/>
        <v/>
      </c>
      <c r="AP17" s="12">
        <f t="shared" si="25"/>
        <v>11.719999999999999</v>
      </c>
      <c r="AQ17" s="12" t="str">
        <f t="shared" si="26"/>
        <v/>
      </c>
      <c r="AR17" s="12">
        <f t="shared" si="27"/>
        <v>77.853999999999999</v>
      </c>
      <c r="AS17" s="12" t="str">
        <f t="shared" si="8"/>
        <v/>
      </c>
      <c r="AT17" s="12" t="str">
        <f t="shared" si="9"/>
        <v/>
      </c>
      <c r="AU17" s="12" t="str">
        <f t="shared" si="10"/>
        <v/>
      </c>
      <c r="AV17" s="17"/>
    </row>
    <row r="18" spans="1:50" x14ac:dyDescent="0.25">
      <c r="A18" s="43" t="s">
        <v>275</v>
      </c>
      <c r="B18" s="52"/>
      <c r="C18" s="44"/>
      <c r="D18" s="43"/>
      <c r="E18" s="52"/>
      <c r="F18" s="46"/>
      <c r="G18" s="76"/>
      <c r="H18" s="48" t="s">
        <v>334</v>
      </c>
      <c r="I18" s="48"/>
      <c r="J18" s="84"/>
      <c r="K18" s="85"/>
      <c r="L18" s="47"/>
      <c r="M18" s="3">
        <f>1.48+0.25</f>
        <v>1.73</v>
      </c>
      <c r="N18" s="3">
        <f>3.55+0.2</f>
        <v>3.75</v>
      </c>
      <c r="O18" s="22">
        <v>0.25</v>
      </c>
      <c r="P18" s="23">
        <v>1</v>
      </c>
      <c r="Q18" s="3"/>
      <c r="R18" s="3"/>
      <c r="S18" s="3"/>
      <c r="T18" s="3"/>
      <c r="U18" s="3"/>
      <c r="V18" s="23"/>
      <c r="W18" s="3"/>
      <c r="X18" s="3"/>
      <c r="Y18" s="17"/>
      <c r="Z18" s="17"/>
      <c r="AA18" s="3"/>
      <c r="AB18" s="3"/>
      <c r="AC18" s="3">
        <f t="shared" si="19"/>
        <v>12.975</v>
      </c>
      <c r="AD18" s="3"/>
      <c r="AE18" s="3"/>
      <c r="AF18" s="3"/>
      <c r="AG18" s="3"/>
      <c r="AH18" s="3"/>
      <c r="AI18" s="3"/>
      <c r="AJ18" s="3"/>
      <c r="AK18" s="12">
        <f t="shared" si="20"/>
        <v>6.4874999999999998</v>
      </c>
      <c r="AL18" s="12">
        <f t="shared" si="21"/>
        <v>6.4874999999999998</v>
      </c>
      <c r="AM18" s="12">
        <f t="shared" si="22"/>
        <v>1.621875</v>
      </c>
      <c r="AN18" s="12">
        <f t="shared" si="23"/>
        <v>1.621875</v>
      </c>
      <c r="AO18" s="12" t="str">
        <f t="shared" si="24"/>
        <v/>
      </c>
      <c r="AP18" s="12">
        <f t="shared" si="25"/>
        <v>1.73</v>
      </c>
      <c r="AQ18" s="12" t="str">
        <f t="shared" si="26"/>
        <v/>
      </c>
      <c r="AR18" s="12">
        <f t="shared" si="27"/>
        <v>12.975</v>
      </c>
      <c r="AS18" s="12" t="str">
        <f t="shared" si="8"/>
        <v/>
      </c>
      <c r="AT18" s="12" t="str">
        <f t="shared" si="9"/>
        <v/>
      </c>
      <c r="AU18" s="12" t="str">
        <f t="shared" si="10"/>
        <v/>
      </c>
      <c r="AV18" s="17"/>
    </row>
    <row r="19" spans="1:50" x14ac:dyDescent="0.25">
      <c r="A19" s="43" t="s">
        <v>275</v>
      </c>
      <c r="B19" s="52"/>
      <c r="C19" s="44"/>
      <c r="D19" s="43"/>
      <c r="E19" s="52"/>
      <c r="F19" s="46"/>
      <c r="G19" s="76" t="s">
        <v>238</v>
      </c>
      <c r="H19" s="48" t="s">
        <v>334</v>
      </c>
      <c r="I19" s="48"/>
      <c r="J19" s="84"/>
      <c r="K19" s="85"/>
      <c r="L19" s="47"/>
      <c r="M19" s="3">
        <f>5.15-0.25</f>
        <v>4.9000000000000004</v>
      </c>
      <c r="N19" s="3">
        <f>3.1+0.2</f>
        <v>3.3000000000000003</v>
      </c>
      <c r="O19" s="22">
        <v>0.25</v>
      </c>
      <c r="P19" s="23">
        <v>1</v>
      </c>
      <c r="Q19" s="3"/>
      <c r="R19" s="3"/>
      <c r="S19" s="3"/>
      <c r="T19" s="3"/>
      <c r="U19" s="3"/>
      <c r="V19" s="23"/>
      <c r="W19" s="3"/>
      <c r="X19" s="3"/>
      <c r="Y19" s="17"/>
      <c r="Z19" s="17"/>
      <c r="AA19" s="3"/>
      <c r="AB19" s="3"/>
      <c r="AC19" s="3">
        <f t="shared" si="19"/>
        <v>32.340000000000003</v>
      </c>
      <c r="AD19" s="3"/>
      <c r="AE19" s="3"/>
      <c r="AF19" s="3"/>
      <c r="AG19" s="3"/>
      <c r="AH19" s="3"/>
      <c r="AI19" s="3"/>
      <c r="AJ19" s="3"/>
      <c r="AK19" s="12">
        <f t="shared" si="20"/>
        <v>16.170000000000002</v>
      </c>
      <c r="AL19" s="12">
        <f t="shared" si="21"/>
        <v>16.170000000000002</v>
      </c>
      <c r="AM19" s="12">
        <f t="shared" si="22"/>
        <v>4.0425000000000004</v>
      </c>
      <c r="AN19" s="12">
        <f t="shared" si="23"/>
        <v>4.0425000000000004</v>
      </c>
      <c r="AO19" s="12" t="str">
        <f t="shared" si="24"/>
        <v/>
      </c>
      <c r="AP19" s="12">
        <f t="shared" si="25"/>
        <v>4.9000000000000004</v>
      </c>
      <c r="AQ19" s="12" t="str">
        <f t="shared" si="26"/>
        <v/>
      </c>
      <c r="AR19" s="12">
        <f t="shared" si="27"/>
        <v>32.340000000000003</v>
      </c>
      <c r="AS19" s="12" t="str">
        <f t="shared" si="8"/>
        <v/>
      </c>
      <c r="AT19" s="12" t="str">
        <f t="shared" si="9"/>
        <v/>
      </c>
      <c r="AU19" s="12" t="str">
        <f t="shared" si="10"/>
        <v/>
      </c>
      <c r="AV19" s="17"/>
    </row>
    <row r="20" spans="1:50" x14ac:dyDescent="0.25">
      <c r="A20" s="43" t="s">
        <v>275</v>
      </c>
      <c r="B20" s="52"/>
      <c r="C20" s="44"/>
      <c r="D20" s="43"/>
      <c r="E20" s="52"/>
      <c r="F20" s="46"/>
      <c r="G20" s="76" t="s">
        <v>239</v>
      </c>
      <c r="H20" s="48" t="s">
        <v>334</v>
      </c>
      <c r="I20" s="48"/>
      <c r="J20" s="84"/>
      <c r="K20" s="85"/>
      <c r="L20" s="47"/>
      <c r="M20" s="3">
        <f>22.2-M21</f>
        <v>15.25</v>
      </c>
      <c r="N20" s="3">
        <f>3.1+0.2</f>
        <v>3.3000000000000003</v>
      </c>
      <c r="O20" s="22">
        <v>0.25</v>
      </c>
      <c r="P20" s="23">
        <v>1</v>
      </c>
      <c r="Q20" s="3"/>
      <c r="R20" s="3"/>
      <c r="S20" s="3"/>
      <c r="T20" s="3"/>
      <c r="U20" s="3"/>
      <c r="V20" s="23"/>
      <c r="W20" s="3"/>
      <c r="X20" s="3"/>
      <c r="Y20" s="17"/>
      <c r="Z20" s="17"/>
      <c r="AA20" s="3"/>
      <c r="AB20" s="3"/>
      <c r="AC20" s="3">
        <f t="shared" si="19"/>
        <v>100.65</v>
      </c>
      <c r="AD20" s="3"/>
      <c r="AE20" s="3"/>
      <c r="AF20" s="3"/>
      <c r="AG20" s="3"/>
      <c r="AH20" s="3"/>
      <c r="AI20" s="3"/>
      <c r="AJ20" s="3"/>
      <c r="AK20" s="12">
        <f t="shared" si="20"/>
        <v>50.325000000000003</v>
      </c>
      <c r="AL20" s="12">
        <f t="shared" si="21"/>
        <v>50.325000000000003</v>
      </c>
      <c r="AM20" s="12">
        <f t="shared" si="22"/>
        <v>12.581250000000001</v>
      </c>
      <c r="AN20" s="12">
        <f t="shared" si="23"/>
        <v>12.581250000000001</v>
      </c>
      <c r="AO20" s="12" t="str">
        <f t="shared" si="24"/>
        <v/>
      </c>
      <c r="AP20" s="12">
        <f t="shared" si="25"/>
        <v>15.25</v>
      </c>
      <c r="AQ20" s="12" t="str">
        <f t="shared" si="26"/>
        <v/>
      </c>
      <c r="AR20" s="12">
        <f t="shared" si="27"/>
        <v>100.65</v>
      </c>
      <c r="AS20" s="12" t="str">
        <f t="shared" si="8"/>
        <v/>
      </c>
      <c r="AT20" s="12" t="str">
        <f t="shared" si="9"/>
        <v/>
      </c>
      <c r="AU20" s="12" t="str">
        <f t="shared" si="10"/>
        <v/>
      </c>
      <c r="AV20" s="17"/>
      <c r="AX20" s="4"/>
    </row>
    <row r="21" spans="1:50" x14ac:dyDescent="0.25">
      <c r="A21" s="43" t="s">
        <v>275</v>
      </c>
      <c r="B21" s="52"/>
      <c r="C21" s="44"/>
      <c r="D21" s="43"/>
      <c r="E21" s="52"/>
      <c r="F21" s="46"/>
      <c r="G21" s="76"/>
      <c r="H21" s="48" t="s">
        <v>334</v>
      </c>
      <c r="I21" s="48"/>
      <c r="J21" s="84"/>
      <c r="K21" s="85"/>
      <c r="L21" s="47"/>
      <c r="M21" s="3">
        <f>0.2+6.75</f>
        <v>6.95</v>
      </c>
      <c r="N21" s="3">
        <f>3.35+0.2</f>
        <v>3.5500000000000003</v>
      </c>
      <c r="O21" s="22">
        <v>0.25</v>
      </c>
      <c r="P21" s="23">
        <v>1</v>
      </c>
      <c r="Q21" s="3"/>
      <c r="R21" s="3"/>
      <c r="S21" s="3"/>
      <c r="T21" s="3"/>
      <c r="U21" s="3"/>
      <c r="V21" s="23"/>
      <c r="W21" s="3"/>
      <c r="X21" s="3"/>
      <c r="Y21" s="17"/>
      <c r="Z21" s="17"/>
      <c r="AA21" s="3"/>
      <c r="AB21" s="3"/>
      <c r="AC21" s="3">
        <f t="shared" si="19"/>
        <v>49.345000000000006</v>
      </c>
      <c r="AD21" s="3">
        <f>-0.2*3.55</f>
        <v>-0.71</v>
      </c>
      <c r="AE21" s="3"/>
      <c r="AF21" s="3"/>
      <c r="AG21" s="3"/>
      <c r="AH21" s="3"/>
      <c r="AI21" s="3"/>
      <c r="AJ21" s="3"/>
      <c r="AK21" s="12">
        <f t="shared" ref="AK21:AK702" si="28">IF(((M21*N21)-Q21-R21-S21+T21+U21)=0,"",((M21*N21)-Q21-R21-S21+T21+U21))</f>
        <v>24.672500000000003</v>
      </c>
      <c r="AL21" s="12">
        <f t="shared" ref="AL21:AL702" si="29">IF(PRODUCT(P21,AK21)=0,"",P21*AK21)</f>
        <v>24.672500000000003</v>
      </c>
      <c r="AM21" s="12">
        <f t="shared" ref="AM21:AM702" si="30">IF(PRODUCT(AK21,O21)=0,"",AK21*O21)</f>
        <v>6.1681250000000007</v>
      </c>
      <c r="AN21" s="12">
        <f t="shared" ref="AN21:AN702" si="31">IF(PRODUCT(AM21,P21)=0,"",AM21*P21)</f>
        <v>6.1681250000000007</v>
      </c>
      <c r="AO21" s="12" t="str">
        <f t="shared" ref="AO21:AO702" si="32">IF(N21*V21-W21+X21=0,"",N21*V21-W21+X21)</f>
        <v/>
      </c>
      <c r="AP21" s="12">
        <f t="shared" ref="AP21:AP702" si="33">IF(PRODUCT(M21,P21)=0,"",M21*P21)</f>
        <v>6.95</v>
      </c>
      <c r="AQ21" s="12" t="str">
        <f t="shared" ref="AQ21:AQ702" si="34">IF(AA21+AB21=0,"",AA21+AB21)</f>
        <v/>
      </c>
      <c r="AR21" s="12">
        <f t="shared" ref="AR21:AR702" si="35">IF(AC21+AD21=0,"",AC21+AD21)</f>
        <v>48.635000000000005</v>
      </c>
      <c r="AS21" s="12" t="str">
        <f t="shared" si="8"/>
        <v/>
      </c>
      <c r="AT21" s="12" t="str">
        <f t="shared" si="9"/>
        <v/>
      </c>
      <c r="AU21" s="12" t="str">
        <f t="shared" si="10"/>
        <v/>
      </c>
      <c r="AV21" s="17"/>
      <c r="AX21" s="4"/>
    </row>
    <row r="22" spans="1:50" x14ac:dyDescent="0.25">
      <c r="A22" s="43" t="s">
        <v>275</v>
      </c>
      <c r="B22" s="52"/>
      <c r="C22" s="44"/>
      <c r="D22" s="43"/>
      <c r="E22" s="52"/>
      <c r="F22" s="46"/>
      <c r="G22" s="76" t="s">
        <v>240</v>
      </c>
      <c r="H22" s="48" t="s">
        <v>334</v>
      </c>
      <c r="I22" s="48"/>
      <c r="J22" s="84"/>
      <c r="K22" s="85"/>
      <c r="L22" s="47"/>
      <c r="M22" s="3">
        <f>0.6+5.535+5.765+0.2</f>
        <v>12.099999999999998</v>
      </c>
      <c r="N22" s="3">
        <f>3.1+0.2</f>
        <v>3.3000000000000003</v>
      </c>
      <c r="O22" s="22">
        <v>0.25</v>
      </c>
      <c r="P22" s="23">
        <v>1</v>
      </c>
      <c r="Q22" s="3"/>
      <c r="R22" s="3"/>
      <c r="S22" s="3"/>
      <c r="T22" s="3"/>
      <c r="U22" s="3"/>
      <c r="V22" s="23"/>
      <c r="W22" s="3"/>
      <c r="X22" s="3"/>
      <c r="Y22" s="17"/>
      <c r="Z22" s="17"/>
      <c r="AA22" s="3"/>
      <c r="AB22" s="3"/>
      <c r="AC22" s="3">
        <f t="shared" si="19"/>
        <v>79.86</v>
      </c>
      <c r="AD22" s="3">
        <f>-0.2*3.3</f>
        <v>-0.66</v>
      </c>
      <c r="AE22" s="3"/>
      <c r="AF22" s="3"/>
      <c r="AG22" s="3"/>
      <c r="AH22" s="3"/>
      <c r="AI22" s="3"/>
      <c r="AJ22" s="3"/>
      <c r="AK22" s="12">
        <f t="shared" si="28"/>
        <v>39.93</v>
      </c>
      <c r="AL22" s="12">
        <f t="shared" si="29"/>
        <v>39.93</v>
      </c>
      <c r="AM22" s="12">
        <f t="shared" si="30"/>
        <v>9.9824999999999999</v>
      </c>
      <c r="AN22" s="12">
        <f t="shared" si="31"/>
        <v>9.9824999999999999</v>
      </c>
      <c r="AO22" s="12" t="str">
        <f t="shared" si="32"/>
        <v/>
      </c>
      <c r="AP22" s="12">
        <f t="shared" si="33"/>
        <v>12.099999999999998</v>
      </c>
      <c r="AQ22" s="12" t="str">
        <f t="shared" si="34"/>
        <v/>
      </c>
      <c r="AR22" s="12">
        <f t="shared" si="35"/>
        <v>79.2</v>
      </c>
      <c r="AS22" s="12" t="str">
        <f t="shared" si="8"/>
        <v/>
      </c>
      <c r="AT22" s="12" t="str">
        <f t="shared" si="9"/>
        <v/>
      </c>
      <c r="AU22" s="12" t="str">
        <f t="shared" si="10"/>
        <v/>
      </c>
      <c r="AV22" s="17"/>
      <c r="AX22" s="4"/>
    </row>
    <row r="23" spans="1:50" x14ac:dyDescent="0.25">
      <c r="A23" s="43" t="s">
        <v>275</v>
      </c>
      <c r="B23" s="52"/>
      <c r="C23" s="44"/>
      <c r="D23" s="43"/>
      <c r="E23" s="52"/>
      <c r="F23" s="46"/>
      <c r="G23" s="76"/>
      <c r="H23" s="48" t="s">
        <v>334</v>
      </c>
      <c r="I23" s="48"/>
      <c r="J23" s="84"/>
      <c r="K23" s="85"/>
      <c r="L23" s="47"/>
      <c r="M23" s="3">
        <f>5.85+0.2+4.5+0.4</f>
        <v>10.950000000000001</v>
      </c>
      <c r="N23" s="3">
        <f>3.35+0.2</f>
        <v>3.5500000000000003</v>
      </c>
      <c r="O23" s="22">
        <v>0.25</v>
      </c>
      <c r="P23" s="23">
        <v>1</v>
      </c>
      <c r="Q23" s="3"/>
      <c r="R23" s="3"/>
      <c r="S23" s="3"/>
      <c r="T23" s="3"/>
      <c r="U23" s="3"/>
      <c r="V23" s="23"/>
      <c r="W23" s="3"/>
      <c r="X23" s="3"/>
      <c r="Y23" s="17"/>
      <c r="Z23" s="17"/>
      <c r="AA23" s="3"/>
      <c r="AB23" s="3"/>
      <c r="AC23" s="3">
        <f t="shared" si="19"/>
        <v>77.745000000000019</v>
      </c>
      <c r="AD23" s="3">
        <f>-0.2*3.55</f>
        <v>-0.71</v>
      </c>
      <c r="AE23" s="3"/>
      <c r="AF23" s="3"/>
      <c r="AG23" s="3"/>
      <c r="AH23" s="3"/>
      <c r="AI23" s="3"/>
      <c r="AJ23" s="3"/>
      <c r="AK23" s="12">
        <f t="shared" ref="AK23:AK53" si="36">IF(((M23*N23)-Q23-R23-S23+T23+U23)=0,"",((M23*N23)-Q23-R23-S23+T23+U23))</f>
        <v>38.872500000000009</v>
      </c>
      <c r="AL23" s="12">
        <f t="shared" ref="AL23:AL53" si="37">IF(PRODUCT(P23,AK23)=0,"",P23*AK23)</f>
        <v>38.872500000000009</v>
      </c>
      <c r="AM23" s="12">
        <f t="shared" ref="AM23:AM53" si="38">IF(PRODUCT(AK23,O23)=0,"",AK23*O23)</f>
        <v>9.7181250000000023</v>
      </c>
      <c r="AN23" s="12">
        <f t="shared" ref="AN23:AN53" si="39">IF(PRODUCT(AM23,P23)=0,"",AM23*P23)</f>
        <v>9.7181250000000023</v>
      </c>
      <c r="AO23" s="12" t="str">
        <f t="shared" ref="AO23:AO53" si="40">IF(N23*V23-W23+X23=0,"",N23*V23-W23+X23)</f>
        <v/>
      </c>
      <c r="AP23" s="12">
        <f t="shared" ref="AP23:AP53" si="41">IF(PRODUCT(M23,P23)=0,"",M23*P23)</f>
        <v>10.950000000000001</v>
      </c>
      <c r="AQ23" s="12" t="str">
        <f t="shared" ref="AQ23:AQ53" si="42">IF(AA23+AB23=0,"",AA23+AB23)</f>
        <v/>
      </c>
      <c r="AR23" s="12">
        <f t="shared" ref="AR23:AR53" si="43">IF(AC23+AD23=0,"",AC23+AD23)</f>
        <v>77.035000000000025</v>
      </c>
      <c r="AS23" s="12" t="str">
        <f t="shared" si="8"/>
        <v/>
      </c>
      <c r="AT23" s="12" t="str">
        <f t="shared" si="9"/>
        <v/>
      </c>
      <c r="AU23" s="12" t="str">
        <f t="shared" si="10"/>
        <v/>
      </c>
      <c r="AV23" s="17"/>
      <c r="AX23" s="4"/>
    </row>
    <row r="24" spans="1:50" x14ac:dyDescent="0.25">
      <c r="A24" s="43" t="s">
        <v>275</v>
      </c>
      <c r="B24" s="52"/>
      <c r="C24" s="44"/>
      <c r="D24" s="43"/>
      <c r="E24" s="52"/>
      <c r="F24" s="46"/>
      <c r="G24" s="76" t="s">
        <v>227</v>
      </c>
      <c r="H24" s="48" t="s">
        <v>334</v>
      </c>
      <c r="I24" s="48"/>
      <c r="J24" s="84"/>
      <c r="K24" s="85"/>
      <c r="L24" s="47"/>
      <c r="M24" s="3">
        <v>13.65</v>
      </c>
      <c r="N24" s="3">
        <f>3.35+0.2</f>
        <v>3.5500000000000003</v>
      </c>
      <c r="O24" s="22">
        <v>0.25</v>
      </c>
      <c r="P24" s="23">
        <v>1</v>
      </c>
      <c r="Q24" s="3"/>
      <c r="R24" s="3"/>
      <c r="S24" s="3"/>
      <c r="T24" s="3"/>
      <c r="U24" s="3"/>
      <c r="V24" s="23"/>
      <c r="W24" s="3"/>
      <c r="X24" s="3"/>
      <c r="Y24" s="17"/>
      <c r="Z24" s="17"/>
      <c r="AA24" s="3"/>
      <c r="AB24" s="3"/>
      <c r="AC24" s="3">
        <f t="shared" si="19"/>
        <v>96.915000000000006</v>
      </c>
      <c r="AD24" s="3"/>
      <c r="AE24" s="3"/>
      <c r="AF24" s="3"/>
      <c r="AG24" s="3"/>
      <c r="AH24" s="3"/>
      <c r="AI24" s="3"/>
      <c r="AJ24" s="3"/>
      <c r="AK24" s="12">
        <f t="shared" si="36"/>
        <v>48.457500000000003</v>
      </c>
      <c r="AL24" s="12">
        <f t="shared" si="37"/>
        <v>48.457500000000003</v>
      </c>
      <c r="AM24" s="12">
        <f t="shared" si="38"/>
        <v>12.114375000000001</v>
      </c>
      <c r="AN24" s="12">
        <f t="shared" si="39"/>
        <v>12.114375000000001</v>
      </c>
      <c r="AO24" s="12" t="str">
        <f t="shared" si="40"/>
        <v/>
      </c>
      <c r="AP24" s="12">
        <f t="shared" si="41"/>
        <v>13.65</v>
      </c>
      <c r="AQ24" s="12" t="str">
        <f t="shared" si="42"/>
        <v/>
      </c>
      <c r="AR24" s="12">
        <f t="shared" si="43"/>
        <v>96.915000000000006</v>
      </c>
      <c r="AS24" s="12" t="str">
        <f t="shared" si="8"/>
        <v/>
      </c>
      <c r="AT24" s="12" t="str">
        <f t="shared" si="9"/>
        <v/>
      </c>
      <c r="AU24" s="12" t="str">
        <f t="shared" si="10"/>
        <v/>
      </c>
      <c r="AV24" s="17"/>
      <c r="AX24" s="4"/>
    </row>
    <row r="25" spans="1:50" x14ac:dyDescent="0.25">
      <c r="A25" s="43" t="s">
        <v>275</v>
      </c>
      <c r="B25" s="52"/>
      <c r="C25" s="44"/>
      <c r="D25" s="43"/>
      <c r="E25" s="52"/>
      <c r="F25" s="46"/>
      <c r="G25" s="76" t="s">
        <v>228</v>
      </c>
      <c r="H25" s="48" t="s">
        <v>334</v>
      </c>
      <c r="I25" s="48"/>
      <c r="J25" s="84"/>
      <c r="K25" s="85"/>
      <c r="L25" s="47"/>
      <c r="M25" s="3">
        <v>1.23</v>
      </c>
      <c r="N25" s="3">
        <f>3.35+0.2</f>
        <v>3.5500000000000003</v>
      </c>
      <c r="O25" s="22">
        <v>0.25</v>
      </c>
      <c r="P25" s="23">
        <v>1</v>
      </c>
      <c r="Q25" s="3"/>
      <c r="R25" s="3"/>
      <c r="S25" s="3"/>
      <c r="T25" s="3"/>
      <c r="U25" s="3"/>
      <c r="V25" s="23"/>
      <c r="W25" s="3"/>
      <c r="X25" s="3"/>
      <c r="Y25" s="17"/>
      <c r="Z25" s="17"/>
      <c r="AA25" s="3">
        <f>0.25*3.55</f>
        <v>0.88749999999999996</v>
      </c>
      <c r="AB25" s="3"/>
      <c r="AC25" s="3">
        <f t="shared" si="19"/>
        <v>8.7330000000000005</v>
      </c>
      <c r="AD25" s="3"/>
      <c r="AE25" s="3"/>
      <c r="AF25" s="3"/>
      <c r="AG25" s="3"/>
      <c r="AH25" s="3"/>
      <c r="AI25" s="3"/>
      <c r="AJ25" s="3"/>
      <c r="AK25" s="12">
        <f t="shared" ref="AK25" si="44">IF(((M25*N25)-Q25-R25-S25+T25+U25)=0,"",((M25*N25)-Q25-R25-S25+T25+U25))</f>
        <v>4.3665000000000003</v>
      </c>
      <c r="AL25" s="12">
        <f t="shared" ref="AL25" si="45">IF(PRODUCT(P25,AK25)=0,"",P25*AK25)</f>
        <v>4.3665000000000003</v>
      </c>
      <c r="AM25" s="12">
        <f t="shared" ref="AM25" si="46">IF(PRODUCT(AK25,O25)=0,"",AK25*O25)</f>
        <v>1.0916250000000001</v>
      </c>
      <c r="AN25" s="12">
        <f t="shared" ref="AN25" si="47">IF(PRODUCT(AM25,P25)=0,"",AM25*P25)</f>
        <v>1.0916250000000001</v>
      </c>
      <c r="AO25" s="12" t="str">
        <f t="shared" ref="AO25" si="48">IF(N25*V25-W25+X25=0,"",N25*V25-W25+X25)</f>
        <v/>
      </c>
      <c r="AP25" s="12">
        <f t="shared" ref="AP25" si="49">IF(PRODUCT(M25,P25)=0,"",M25*P25)</f>
        <v>1.23</v>
      </c>
      <c r="AQ25" s="12">
        <f t="shared" ref="AQ25" si="50">IF(AA25+AB25=0,"",AA25+AB25)</f>
        <v>0.88749999999999996</v>
      </c>
      <c r="AR25" s="12">
        <f t="shared" ref="AR25" si="51">IF(AC25+AD25=0,"",AC25+AD25)</f>
        <v>8.7330000000000005</v>
      </c>
      <c r="AS25" s="12" t="str">
        <f t="shared" si="8"/>
        <v/>
      </c>
      <c r="AT25" s="12" t="str">
        <f t="shared" si="9"/>
        <v/>
      </c>
      <c r="AU25" s="12" t="str">
        <f t="shared" si="10"/>
        <v/>
      </c>
      <c r="AV25" s="17"/>
      <c r="AX25" s="4"/>
    </row>
    <row r="26" spans="1:50" x14ac:dyDescent="0.25">
      <c r="A26" s="43" t="s">
        <v>275</v>
      </c>
      <c r="B26" s="52"/>
      <c r="C26" s="44"/>
      <c r="D26" s="43"/>
      <c r="E26" s="52"/>
      <c r="F26" s="46"/>
      <c r="G26" s="76" t="s">
        <v>229</v>
      </c>
      <c r="H26" s="48" t="s">
        <v>334</v>
      </c>
      <c r="I26" s="48"/>
      <c r="J26" s="84"/>
      <c r="K26" s="85"/>
      <c r="L26" s="47"/>
      <c r="M26" s="3">
        <f>25.9+1.1*2</f>
        <v>28.099999999999998</v>
      </c>
      <c r="N26" s="3">
        <f>3.35+0.2</f>
        <v>3.5500000000000003</v>
      </c>
      <c r="O26" s="22">
        <v>0.25</v>
      </c>
      <c r="P26" s="23">
        <v>1</v>
      </c>
      <c r="Q26" s="3">
        <f>(1.65+0.4+4.3)*3.4+0.65*3.65*2+2.17*3.65*2+2.1*3.4*2</f>
        <v>56.456000000000003</v>
      </c>
      <c r="R26" s="3"/>
      <c r="S26" s="3"/>
      <c r="T26" s="3"/>
      <c r="U26" s="3"/>
      <c r="V26" s="23"/>
      <c r="W26" s="3"/>
      <c r="X26" s="3"/>
      <c r="Y26" s="17"/>
      <c r="Z26" s="17"/>
      <c r="AA26" s="3">
        <f>0.25*14</f>
        <v>3.5</v>
      </c>
      <c r="AB26" s="3"/>
      <c r="AC26" s="3">
        <f t="shared" si="19"/>
        <v>199.51</v>
      </c>
      <c r="AD26" s="3">
        <f>-Q26*2</f>
        <v>-112.91200000000001</v>
      </c>
      <c r="AE26" s="3"/>
      <c r="AF26" s="3"/>
      <c r="AG26" s="3"/>
      <c r="AH26" s="3"/>
      <c r="AI26" s="3"/>
      <c r="AJ26" s="3"/>
      <c r="AK26" s="12">
        <f t="shared" si="36"/>
        <v>43.298999999999992</v>
      </c>
      <c r="AL26" s="12">
        <f t="shared" si="37"/>
        <v>43.298999999999992</v>
      </c>
      <c r="AM26" s="12">
        <f t="shared" si="38"/>
        <v>10.824749999999998</v>
      </c>
      <c r="AN26" s="12">
        <f t="shared" si="39"/>
        <v>10.824749999999998</v>
      </c>
      <c r="AO26" s="12" t="str">
        <f t="shared" si="40"/>
        <v/>
      </c>
      <c r="AP26" s="12">
        <f t="shared" si="41"/>
        <v>28.099999999999998</v>
      </c>
      <c r="AQ26" s="12">
        <f t="shared" si="42"/>
        <v>3.5</v>
      </c>
      <c r="AR26" s="12">
        <f t="shared" si="43"/>
        <v>86.597999999999985</v>
      </c>
      <c r="AS26" s="12" t="str">
        <f t="shared" si="8"/>
        <v/>
      </c>
      <c r="AT26" s="12" t="str">
        <f t="shared" si="9"/>
        <v/>
      </c>
      <c r="AU26" s="12" t="str">
        <f t="shared" si="10"/>
        <v/>
      </c>
      <c r="AV26" s="17"/>
      <c r="AX26" s="4"/>
    </row>
    <row r="27" spans="1:50" x14ac:dyDescent="0.25">
      <c r="A27" s="43" t="s">
        <v>275</v>
      </c>
      <c r="B27" s="52"/>
      <c r="C27" s="44"/>
      <c r="D27" s="43"/>
      <c r="E27" s="52"/>
      <c r="F27" s="46"/>
      <c r="G27" s="76"/>
      <c r="H27" s="48" t="s">
        <v>334</v>
      </c>
      <c r="I27" s="48"/>
      <c r="J27" s="84"/>
      <c r="K27" s="85"/>
      <c r="L27" s="47"/>
      <c r="M27" s="3">
        <v>0.4</v>
      </c>
      <c r="N27" s="3">
        <v>3.55</v>
      </c>
      <c r="O27" s="22">
        <v>0.2</v>
      </c>
      <c r="P27" s="23">
        <v>1</v>
      </c>
      <c r="Q27" s="3"/>
      <c r="R27" s="3"/>
      <c r="S27" s="3"/>
      <c r="T27" s="3"/>
      <c r="U27" s="3"/>
      <c r="V27" s="23"/>
      <c r="W27" s="3"/>
      <c r="X27" s="3"/>
      <c r="Y27" s="17"/>
      <c r="Z27" s="17"/>
      <c r="AA27" s="3">
        <f>0.2*3.55*2</f>
        <v>1.42</v>
      </c>
      <c r="AB27" s="3"/>
      <c r="AC27" s="3">
        <f t="shared" si="19"/>
        <v>2.84</v>
      </c>
      <c r="AD27" s="3"/>
      <c r="AE27" s="3"/>
      <c r="AF27" s="3"/>
      <c r="AG27" s="3"/>
      <c r="AH27" s="3"/>
      <c r="AI27" s="3"/>
      <c r="AJ27" s="3"/>
      <c r="AK27" s="12">
        <f t="shared" si="36"/>
        <v>1.42</v>
      </c>
      <c r="AL27" s="12">
        <f t="shared" si="37"/>
        <v>1.42</v>
      </c>
      <c r="AM27" s="12">
        <f t="shared" si="38"/>
        <v>0.28399999999999997</v>
      </c>
      <c r="AN27" s="12">
        <f t="shared" si="39"/>
        <v>0.28399999999999997</v>
      </c>
      <c r="AO27" s="12" t="str">
        <f t="shared" si="40"/>
        <v/>
      </c>
      <c r="AP27" s="12">
        <f t="shared" si="41"/>
        <v>0.4</v>
      </c>
      <c r="AQ27" s="12">
        <f t="shared" si="42"/>
        <v>1.42</v>
      </c>
      <c r="AR27" s="12">
        <f t="shared" si="43"/>
        <v>2.84</v>
      </c>
      <c r="AS27" s="12" t="str">
        <f t="shared" si="8"/>
        <v/>
      </c>
      <c r="AT27" s="12" t="str">
        <f t="shared" si="9"/>
        <v/>
      </c>
      <c r="AU27" s="12" t="str">
        <f t="shared" si="10"/>
        <v/>
      </c>
      <c r="AV27" s="17"/>
      <c r="AX27" s="4"/>
    </row>
    <row r="28" spans="1:50" x14ac:dyDescent="0.25">
      <c r="A28" s="43" t="s">
        <v>275</v>
      </c>
      <c r="B28" s="52"/>
      <c r="C28" s="44"/>
      <c r="D28" s="43"/>
      <c r="E28" s="52"/>
      <c r="F28" s="46"/>
      <c r="G28" s="76" t="s">
        <v>230</v>
      </c>
      <c r="H28" s="48" t="s">
        <v>334</v>
      </c>
      <c r="I28" s="48"/>
      <c r="J28" s="84"/>
      <c r="K28" s="85"/>
      <c r="L28" s="47"/>
      <c r="M28" s="3">
        <v>5.05</v>
      </c>
      <c r="N28" s="3">
        <f>3.35+0.2</f>
        <v>3.5500000000000003</v>
      </c>
      <c r="O28" s="22">
        <v>0.25</v>
      </c>
      <c r="P28" s="23">
        <v>1</v>
      </c>
      <c r="Q28" s="3"/>
      <c r="R28" s="3"/>
      <c r="S28" s="3"/>
      <c r="T28" s="3"/>
      <c r="U28" s="3"/>
      <c r="V28" s="23"/>
      <c r="W28" s="3"/>
      <c r="X28" s="3"/>
      <c r="Y28" s="17"/>
      <c r="Z28" s="17"/>
      <c r="AA28" s="3"/>
      <c r="AB28" s="3"/>
      <c r="AC28" s="3">
        <f t="shared" si="19"/>
        <v>35.855000000000004</v>
      </c>
      <c r="AD28" s="3"/>
      <c r="AE28" s="3"/>
      <c r="AF28" s="3"/>
      <c r="AG28" s="3"/>
      <c r="AH28" s="3"/>
      <c r="AI28" s="3"/>
      <c r="AJ28" s="3"/>
      <c r="AK28" s="12">
        <f t="shared" si="36"/>
        <v>17.927500000000002</v>
      </c>
      <c r="AL28" s="12">
        <f t="shared" si="37"/>
        <v>17.927500000000002</v>
      </c>
      <c r="AM28" s="12">
        <f t="shared" si="38"/>
        <v>4.4818750000000005</v>
      </c>
      <c r="AN28" s="12">
        <f t="shared" si="39"/>
        <v>4.4818750000000005</v>
      </c>
      <c r="AO28" s="12" t="str">
        <f t="shared" si="40"/>
        <v/>
      </c>
      <c r="AP28" s="12">
        <f t="shared" si="41"/>
        <v>5.05</v>
      </c>
      <c r="AQ28" s="12" t="str">
        <f t="shared" si="42"/>
        <v/>
      </c>
      <c r="AR28" s="12">
        <f t="shared" si="43"/>
        <v>35.855000000000004</v>
      </c>
      <c r="AS28" s="12" t="str">
        <f t="shared" si="8"/>
        <v/>
      </c>
      <c r="AT28" s="12" t="str">
        <f t="shared" si="9"/>
        <v/>
      </c>
      <c r="AU28" s="12" t="str">
        <f t="shared" si="10"/>
        <v/>
      </c>
      <c r="AV28" s="17"/>
      <c r="AX28" s="4"/>
    </row>
    <row r="29" spans="1:50" x14ac:dyDescent="0.25">
      <c r="A29" s="43" t="s">
        <v>275</v>
      </c>
      <c r="B29" s="52"/>
      <c r="C29" s="44"/>
      <c r="D29" s="43"/>
      <c r="E29" s="52"/>
      <c r="F29" s="46"/>
      <c r="G29" s="76" t="s">
        <v>231</v>
      </c>
      <c r="H29" s="48" t="s">
        <v>334</v>
      </c>
      <c r="I29" s="48"/>
      <c r="J29" s="84"/>
      <c r="K29" s="85"/>
      <c r="L29" s="47"/>
      <c r="M29" s="3">
        <f>0.88+0.2</f>
        <v>1.08</v>
      </c>
      <c r="N29" s="3">
        <f>3.35+0.2</f>
        <v>3.5500000000000003</v>
      </c>
      <c r="O29" s="22">
        <v>0.2</v>
      </c>
      <c r="P29" s="23">
        <v>1</v>
      </c>
      <c r="Q29" s="3"/>
      <c r="R29" s="3"/>
      <c r="S29" s="3"/>
      <c r="T29" s="3"/>
      <c r="U29" s="3"/>
      <c r="V29" s="23"/>
      <c r="W29" s="3"/>
      <c r="X29" s="3"/>
      <c r="Y29" s="17"/>
      <c r="Z29" s="17"/>
      <c r="AA29" s="3">
        <f>0.2*3.55</f>
        <v>0.71</v>
      </c>
      <c r="AB29" s="3"/>
      <c r="AC29" s="3">
        <f>M29*N29*2-0.25+0.2</f>
        <v>7.6180000000000012</v>
      </c>
      <c r="AD29" s="3"/>
      <c r="AE29" s="3"/>
      <c r="AF29" s="3"/>
      <c r="AG29" s="3"/>
      <c r="AH29" s="3"/>
      <c r="AI29" s="3"/>
      <c r="AJ29" s="3"/>
      <c r="AK29" s="12">
        <f t="shared" si="36"/>
        <v>3.8340000000000005</v>
      </c>
      <c r="AL29" s="12">
        <f t="shared" si="37"/>
        <v>3.8340000000000005</v>
      </c>
      <c r="AM29" s="12">
        <f t="shared" si="38"/>
        <v>0.76680000000000015</v>
      </c>
      <c r="AN29" s="12">
        <f t="shared" si="39"/>
        <v>0.76680000000000015</v>
      </c>
      <c r="AO29" s="12" t="str">
        <f t="shared" si="40"/>
        <v/>
      </c>
      <c r="AP29" s="12">
        <f t="shared" si="41"/>
        <v>1.08</v>
      </c>
      <c r="AQ29" s="12">
        <f t="shared" si="42"/>
        <v>0.71</v>
      </c>
      <c r="AR29" s="12">
        <f t="shared" si="43"/>
        <v>7.6180000000000012</v>
      </c>
      <c r="AS29" s="12" t="str">
        <f t="shared" si="8"/>
        <v/>
      </c>
      <c r="AT29" s="12" t="str">
        <f t="shared" si="9"/>
        <v/>
      </c>
      <c r="AU29" s="12" t="str">
        <f t="shared" si="10"/>
        <v/>
      </c>
      <c r="AV29" s="17"/>
      <c r="AX29" s="4"/>
    </row>
    <row r="30" spans="1:50" x14ac:dyDescent="0.25">
      <c r="A30" s="43" t="s">
        <v>275</v>
      </c>
      <c r="B30" s="52"/>
      <c r="C30" s="44"/>
      <c r="D30" s="43"/>
      <c r="E30" s="52"/>
      <c r="F30" s="46"/>
      <c r="G30" s="76" t="s">
        <v>232</v>
      </c>
      <c r="H30" s="48" t="s">
        <v>334</v>
      </c>
      <c r="I30" s="48"/>
      <c r="J30" s="84"/>
      <c r="K30" s="85"/>
      <c r="L30" s="47"/>
      <c r="M30" s="3">
        <v>2.57</v>
      </c>
      <c r="N30" s="3">
        <f t="shared" ref="N30:N33" si="52">3.35+0.2</f>
        <v>3.5500000000000003</v>
      </c>
      <c r="O30" s="22">
        <v>0.2</v>
      </c>
      <c r="P30" s="23">
        <v>1</v>
      </c>
      <c r="Q30" s="3"/>
      <c r="R30" s="3"/>
      <c r="S30" s="3"/>
      <c r="T30" s="3"/>
      <c r="U30" s="3"/>
      <c r="V30" s="23"/>
      <c r="W30" s="3"/>
      <c r="X30" s="3"/>
      <c r="Y30" s="17"/>
      <c r="Z30" s="17"/>
      <c r="AA30" s="3">
        <f>0.2*3.55*2</f>
        <v>1.42</v>
      </c>
      <c r="AB30" s="3"/>
      <c r="AC30" s="3">
        <f t="shared" si="19"/>
        <v>18.247</v>
      </c>
      <c r="AD30" s="3"/>
      <c r="AE30" s="3"/>
      <c r="AF30" s="3"/>
      <c r="AG30" s="3"/>
      <c r="AH30" s="3"/>
      <c r="AI30" s="3"/>
      <c r="AJ30" s="3"/>
      <c r="AK30" s="12">
        <f t="shared" ref="AK30" si="53">IF(((M30*N30)-Q30-R30-S30+T30+U30)=0,"",((M30*N30)-Q30-R30-S30+T30+U30))</f>
        <v>9.1234999999999999</v>
      </c>
      <c r="AL30" s="12">
        <f t="shared" ref="AL30" si="54">IF(PRODUCT(P30,AK30)=0,"",P30*AK30)</f>
        <v>9.1234999999999999</v>
      </c>
      <c r="AM30" s="12">
        <f t="shared" ref="AM30" si="55">IF(PRODUCT(AK30,O30)=0,"",AK30*O30)</f>
        <v>1.8247</v>
      </c>
      <c r="AN30" s="12">
        <f t="shared" ref="AN30" si="56">IF(PRODUCT(AM30,P30)=0,"",AM30*P30)</f>
        <v>1.8247</v>
      </c>
      <c r="AO30" s="12" t="str">
        <f t="shared" ref="AO30" si="57">IF(N30*V30-W30+X30=0,"",N30*V30-W30+X30)</f>
        <v/>
      </c>
      <c r="AP30" s="12">
        <f t="shared" ref="AP30" si="58">IF(PRODUCT(M30,P30)=0,"",M30*P30)</f>
        <v>2.57</v>
      </c>
      <c r="AQ30" s="12">
        <f t="shared" ref="AQ30" si="59">IF(AA30+AB30=0,"",AA30+AB30)</f>
        <v>1.42</v>
      </c>
      <c r="AR30" s="12">
        <f t="shared" ref="AR30" si="60">IF(AC30+AD30=0,"",AC30+AD30)</f>
        <v>18.247</v>
      </c>
      <c r="AS30" s="12" t="str">
        <f t="shared" si="8"/>
        <v/>
      </c>
      <c r="AT30" s="12" t="str">
        <f t="shared" si="9"/>
        <v/>
      </c>
      <c r="AU30" s="12" t="str">
        <f t="shared" si="10"/>
        <v/>
      </c>
      <c r="AV30" s="17"/>
      <c r="AX30" s="4"/>
    </row>
    <row r="31" spans="1:50" x14ac:dyDescent="0.25">
      <c r="A31" s="43" t="s">
        <v>275</v>
      </c>
      <c r="B31" s="52"/>
      <c r="C31" s="44"/>
      <c r="D31" s="43"/>
      <c r="E31" s="52"/>
      <c r="F31" s="46"/>
      <c r="G31" s="76" t="s">
        <v>233</v>
      </c>
      <c r="H31" s="48" t="s">
        <v>334</v>
      </c>
      <c r="I31" s="48"/>
      <c r="J31" s="84"/>
      <c r="K31" s="85"/>
      <c r="L31" s="47"/>
      <c r="M31" s="3">
        <v>4.5750000000000002</v>
      </c>
      <c r="N31" s="3">
        <f t="shared" si="52"/>
        <v>3.5500000000000003</v>
      </c>
      <c r="O31" s="22">
        <v>0.2</v>
      </c>
      <c r="P31" s="23">
        <v>1</v>
      </c>
      <c r="Q31" s="3"/>
      <c r="R31" s="3"/>
      <c r="S31" s="3"/>
      <c r="T31" s="3"/>
      <c r="U31" s="3"/>
      <c r="V31" s="23"/>
      <c r="W31" s="3"/>
      <c r="X31" s="3"/>
      <c r="Y31" s="17"/>
      <c r="Z31" s="17"/>
      <c r="AA31" s="3">
        <f>0.2*3.55*2</f>
        <v>1.42</v>
      </c>
      <c r="AB31" s="3"/>
      <c r="AC31" s="3">
        <f t="shared" si="19"/>
        <v>32.482500000000002</v>
      </c>
      <c r="AD31" s="3"/>
      <c r="AE31" s="3"/>
      <c r="AF31" s="3"/>
      <c r="AG31" s="3"/>
      <c r="AH31" s="3"/>
      <c r="AI31" s="3"/>
      <c r="AJ31" s="3"/>
      <c r="AK31" s="12">
        <f t="shared" si="36"/>
        <v>16.241250000000001</v>
      </c>
      <c r="AL31" s="12">
        <f t="shared" si="37"/>
        <v>16.241250000000001</v>
      </c>
      <c r="AM31" s="12">
        <f t="shared" si="38"/>
        <v>3.2482500000000005</v>
      </c>
      <c r="AN31" s="12">
        <f t="shared" si="39"/>
        <v>3.2482500000000005</v>
      </c>
      <c r="AO31" s="12" t="str">
        <f t="shared" si="40"/>
        <v/>
      </c>
      <c r="AP31" s="12">
        <f t="shared" si="41"/>
        <v>4.5750000000000002</v>
      </c>
      <c r="AQ31" s="12">
        <f t="shared" si="42"/>
        <v>1.42</v>
      </c>
      <c r="AR31" s="12">
        <f t="shared" si="43"/>
        <v>32.482500000000002</v>
      </c>
      <c r="AS31" s="12" t="str">
        <f t="shared" si="8"/>
        <v/>
      </c>
      <c r="AT31" s="12" t="str">
        <f t="shared" si="9"/>
        <v/>
      </c>
      <c r="AU31" s="12" t="str">
        <f t="shared" si="10"/>
        <v/>
      </c>
      <c r="AV31" s="17"/>
      <c r="AX31" s="4"/>
    </row>
    <row r="32" spans="1:50" x14ac:dyDescent="0.25">
      <c r="A32" s="43" t="s">
        <v>275</v>
      </c>
      <c r="B32" s="52"/>
      <c r="C32" s="44"/>
      <c r="D32" s="43"/>
      <c r="E32" s="52"/>
      <c r="F32" s="46"/>
      <c r="G32" s="76" t="s">
        <v>234</v>
      </c>
      <c r="H32" s="48" t="s">
        <v>334</v>
      </c>
      <c r="I32" s="48"/>
      <c r="J32" s="84"/>
      <c r="K32" s="85"/>
      <c r="L32" s="47"/>
      <c r="M32" s="3">
        <v>4.5</v>
      </c>
      <c r="N32" s="3">
        <f t="shared" si="52"/>
        <v>3.5500000000000003</v>
      </c>
      <c r="O32" s="22">
        <v>0.2</v>
      </c>
      <c r="P32" s="23">
        <v>1</v>
      </c>
      <c r="Q32" s="3"/>
      <c r="R32" s="3"/>
      <c r="S32" s="3"/>
      <c r="T32" s="3"/>
      <c r="U32" s="3"/>
      <c r="V32" s="23"/>
      <c r="W32" s="3"/>
      <c r="X32" s="3"/>
      <c r="Y32" s="17"/>
      <c r="Z32" s="17"/>
      <c r="AA32" s="3">
        <f>0.2*3.55*2</f>
        <v>1.42</v>
      </c>
      <c r="AB32" s="3"/>
      <c r="AC32" s="3">
        <f t="shared" si="19"/>
        <v>31.950000000000003</v>
      </c>
      <c r="AD32" s="3"/>
      <c r="AE32" s="3"/>
      <c r="AF32" s="3"/>
      <c r="AG32" s="3"/>
      <c r="AH32" s="3"/>
      <c r="AI32" s="3"/>
      <c r="AJ32" s="3"/>
      <c r="AK32" s="12">
        <f t="shared" si="36"/>
        <v>15.975000000000001</v>
      </c>
      <c r="AL32" s="12">
        <f t="shared" si="37"/>
        <v>15.975000000000001</v>
      </c>
      <c r="AM32" s="12">
        <f t="shared" si="38"/>
        <v>3.1950000000000003</v>
      </c>
      <c r="AN32" s="12">
        <f t="shared" si="39"/>
        <v>3.1950000000000003</v>
      </c>
      <c r="AO32" s="12" t="str">
        <f t="shared" si="40"/>
        <v/>
      </c>
      <c r="AP32" s="12">
        <f t="shared" si="41"/>
        <v>4.5</v>
      </c>
      <c r="AQ32" s="12">
        <f t="shared" si="42"/>
        <v>1.42</v>
      </c>
      <c r="AR32" s="12">
        <f t="shared" si="43"/>
        <v>31.950000000000003</v>
      </c>
      <c r="AS32" s="12" t="str">
        <f t="shared" si="8"/>
        <v/>
      </c>
      <c r="AT32" s="12" t="str">
        <f t="shared" si="9"/>
        <v/>
      </c>
      <c r="AU32" s="12" t="str">
        <f t="shared" si="10"/>
        <v/>
      </c>
      <c r="AV32" s="17"/>
      <c r="AX32" s="4"/>
    </row>
    <row r="33" spans="1:50" x14ac:dyDescent="0.25">
      <c r="A33" s="43" t="s">
        <v>275</v>
      </c>
      <c r="B33" s="52"/>
      <c r="C33" s="44"/>
      <c r="D33" s="43"/>
      <c r="E33" s="52"/>
      <c r="F33" s="46"/>
      <c r="G33" s="76" t="s">
        <v>235</v>
      </c>
      <c r="H33" s="48" t="s">
        <v>334</v>
      </c>
      <c r="I33" s="48"/>
      <c r="J33" s="84"/>
      <c r="K33" s="85"/>
      <c r="L33" s="47"/>
      <c r="M33" s="3">
        <v>4.7549999999999999</v>
      </c>
      <c r="N33" s="3">
        <f t="shared" si="52"/>
        <v>3.5500000000000003</v>
      </c>
      <c r="O33" s="22">
        <v>0.2</v>
      </c>
      <c r="P33" s="23">
        <v>1</v>
      </c>
      <c r="Q33" s="3"/>
      <c r="R33" s="3"/>
      <c r="S33" s="3"/>
      <c r="T33" s="3"/>
      <c r="U33" s="3"/>
      <c r="V33" s="23"/>
      <c r="W33" s="3"/>
      <c r="X33" s="3"/>
      <c r="Y33" s="17"/>
      <c r="Z33" s="17"/>
      <c r="AA33" s="3">
        <f>0.2*3.55*2</f>
        <v>1.42</v>
      </c>
      <c r="AB33" s="3"/>
      <c r="AC33" s="3">
        <f t="shared" si="19"/>
        <v>33.7605</v>
      </c>
      <c r="AD33" s="3"/>
      <c r="AE33" s="3"/>
      <c r="AF33" s="3"/>
      <c r="AG33" s="3"/>
      <c r="AH33" s="3"/>
      <c r="AI33" s="3"/>
      <c r="AJ33" s="3"/>
      <c r="AK33" s="12">
        <f t="shared" si="36"/>
        <v>16.88025</v>
      </c>
      <c r="AL33" s="12">
        <f t="shared" si="37"/>
        <v>16.88025</v>
      </c>
      <c r="AM33" s="12">
        <f t="shared" si="38"/>
        <v>3.3760500000000002</v>
      </c>
      <c r="AN33" s="12">
        <f t="shared" si="39"/>
        <v>3.3760500000000002</v>
      </c>
      <c r="AO33" s="12" t="str">
        <f t="shared" si="40"/>
        <v/>
      </c>
      <c r="AP33" s="12">
        <f t="shared" si="41"/>
        <v>4.7549999999999999</v>
      </c>
      <c r="AQ33" s="12">
        <f t="shared" si="42"/>
        <v>1.42</v>
      </c>
      <c r="AR33" s="12">
        <f t="shared" si="43"/>
        <v>33.7605</v>
      </c>
      <c r="AS33" s="12" t="str">
        <f t="shared" si="8"/>
        <v/>
      </c>
      <c r="AT33" s="12" t="str">
        <f t="shared" si="9"/>
        <v/>
      </c>
      <c r="AU33" s="12" t="str">
        <f t="shared" si="10"/>
        <v/>
      </c>
      <c r="AV33" s="17"/>
      <c r="AX33" s="4"/>
    </row>
    <row r="34" spans="1:50" x14ac:dyDescent="0.25">
      <c r="A34" s="43" t="s">
        <v>275</v>
      </c>
      <c r="B34" s="52"/>
      <c r="C34" s="44"/>
      <c r="D34" s="43"/>
      <c r="E34" s="52"/>
      <c r="F34" s="46"/>
      <c r="G34" s="76" t="s">
        <v>236</v>
      </c>
      <c r="H34" s="48" t="s">
        <v>334</v>
      </c>
      <c r="I34" s="48"/>
      <c r="J34" s="84"/>
      <c r="K34" s="85"/>
      <c r="L34" s="47"/>
      <c r="M34" s="3">
        <v>3.7749999999999999</v>
      </c>
      <c r="N34" s="3">
        <f>3.1+0.2</f>
        <v>3.3000000000000003</v>
      </c>
      <c r="O34" s="22">
        <v>0.2</v>
      </c>
      <c r="P34" s="23">
        <v>1</v>
      </c>
      <c r="Q34" s="3"/>
      <c r="R34" s="3"/>
      <c r="S34" s="3"/>
      <c r="T34" s="3"/>
      <c r="U34" s="3"/>
      <c r="V34" s="23"/>
      <c r="W34" s="3"/>
      <c r="X34" s="3"/>
      <c r="Y34" s="17"/>
      <c r="Z34" s="17"/>
      <c r="AA34" s="3">
        <f>0.2*3.55*2</f>
        <v>1.42</v>
      </c>
      <c r="AB34" s="3"/>
      <c r="AC34" s="3">
        <f t="shared" ref="AC34" si="61">M34*N34*2</f>
        <v>24.915000000000003</v>
      </c>
      <c r="AD34" s="3"/>
      <c r="AE34" s="3"/>
      <c r="AF34" s="3"/>
      <c r="AG34" s="3"/>
      <c r="AH34" s="3"/>
      <c r="AI34" s="3"/>
      <c r="AJ34" s="3"/>
      <c r="AK34" s="12">
        <f t="shared" si="36"/>
        <v>12.457500000000001</v>
      </c>
      <c r="AL34" s="12">
        <f t="shared" si="37"/>
        <v>12.457500000000001</v>
      </c>
      <c r="AM34" s="12">
        <f t="shared" si="38"/>
        <v>2.4915000000000003</v>
      </c>
      <c r="AN34" s="12">
        <f t="shared" si="39"/>
        <v>2.4915000000000003</v>
      </c>
      <c r="AO34" s="12" t="str">
        <f t="shared" si="40"/>
        <v/>
      </c>
      <c r="AP34" s="12">
        <f t="shared" si="41"/>
        <v>3.7749999999999999</v>
      </c>
      <c r="AQ34" s="12">
        <f t="shared" si="42"/>
        <v>1.42</v>
      </c>
      <c r="AR34" s="12">
        <f t="shared" si="43"/>
        <v>24.915000000000003</v>
      </c>
      <c r="AS34" s="12" t="str">
        <f t="shared" si="8"/>
        <v/>
      </c>
      <c r="AT34" s="12" t="str">
        <f t="shared" si="9"/>
        <v/>
      </c>
      <c r="AU34" s="12" t="str">
        <f t="shared" si="10"/>
        <v/>
      </c>
      <c r="AV34" s="17"/>
      <c r="AX34" s="4"/>
    </row>
    <row r="35" spans="1:50" x14ac:dyDescent="0.25">
      <c r="A35" s="43" t="s">
        <v>275</v>
      </c>
      <c r="B35" s="52"/>
      <c r="C35" s="44"/>
      <c r="D35" s="43"/>
      <c r="E35" s="52"/>
      <c r="F35" s="46"/>
      <c r="G35" s="76" t="s">
        <v>237</v>
      </c>
      <c r="H35" s="48" t="s">
        <v>334</v>
      </c>
      <c r="I35" s="48"/>
      <c r="J35" s="84"/>
      <c r="K35" s="85"/>
      <c r="L35" s="47"/>
      <c r="M35" s="3">
        <f>4.5-M36</f>
        <v>1.9750000000000001</v>
      </c>
      <c r="N35" s="3">
        <f>3.1+0.2</f>
        <v>3.3000000000000003</v>
      </c>
      <c r="O35" s="22">
        <v>0.2</v>
      </c>
      <c r="P35" s="23">
        <v>1</v>
      </c>
      <c r="Q35" s="3"/>
      <c r="R35" s="3"/>
      <c r="S35" s="3"/>
      <c r="T35" s="3"/>
      <c r="U35" s="3"/>
      <c r="V35" s="23"/>
      <c r="W35" s="3"/>
      <c r="X35" s="3"/>
      <c r="Y35" s="17"/>
      <c r="Z35" s="17"/>
      <c r="AA35" s="3">
        <f>0.2*3.3</f>
        <v>0.66</v>
      </c>
      <c r="AB35" s="3"/>
      <c r="AC35" s="3">
        <f t="shared" ref="AC35:AC36" si="62">M35*N35*2</f>
        <v>13.035000000000002</v>
      </c>
      <c r="AD35" s="3"/>
      <c r="AE35" s="3"/>
      <c r="AF35" s="3"/>
      <c r="AG35" s="3"/>
      <c r="AH35" s="3"/>
      <c r="AI35" s="3"/>
      <c r="AJ35" s="3"/>
      <c r="AK35" s="12">
        <f t="shared" ref="AK35" si="63">IF(((M35*N35)-Q35-R35-S35+T35+U35)=0,"",((M35*N35)-Q35-R35-S35+T35+U35))</f>
        <v>6.517500000000001</v>
      </c>
      <c r="AL35" s="12">
        <f t="shared" ref="AL35" si="64">IF(PRODUCT(P35,AK35)=0,"",P35*AK35)</f>
        <v>6.517500000000001</v>
      </c>
      <c r="AM35" s="12">
        <f t="shared" ref="AM35" si="65">IF(PRODUCT(AK35,O35)=0,"",AK35*O35)</f>
        <v>1.3035000000000003</v>
      </c>
      <c r="AN35" s="12">
        <f t="shared" ref="AN35" si="66">IF(PRODUCT(AM35,P35)=0,"",AM35*P35)</f>
        <v>1.3035000000000003</v>
      </c>
      <c r="AO35" s="12" t="str">
        <f t="shared" ref="AO35" si="67">IF(N35*V35-W35+X35=0,"",N35*V35-W35+X35)</f>
        <v/>
      </c>
      <c r="AP35" s="12">
        <f t="shared" ref="AP35" si="68">IF(PRODUCT(M35,P35)=0,"",M35*P35)</f>
        <v>1.9750000000000001</v>
      </c>
      <c r="AQ35" s="12">
        <f t="shared" ref="AQ35" si="69">IF(AA35+AB35=0,"",AA35+AB35)</f>
        <v>0.66</v>
      </c>
      <c r="AR35" s="12">
        <f t="shared" ref="AR35" si="70">IF(AC35+AD35=0,"",AC35+AD35)</f>
        <v>13.035000000000002</v>
      </c>
      <c r="AS35" s="12" t="str">
        <f t="shared" si="8"/>
        <v/>
      </c>
      <c r="AT35" s="12" t="str">
        <f t="shared" si="9"/>
        <v/>
      </c>
      <c r="AU35" s="12" t="str">
        <f t="shared" si="10"/>
        <v/>
      </c>
      <c r="AV35" s="17"/>
      <c r="AX35" s="4"/>
    </row>
    <row r="36" spans="1:50" x14ac:dyDescent="0.25">
      <c r="A36" s="43" t="s">
        <v>275</v>
      </c>
      <c r="B36" s="52"/>
      <c r="C36" s="44"/>
      <c r="D36" s="43"/>
      <c r="E36" s="52"/>
      <c r="F36" s="46"/>
      <c r="G36" s="76"/>
      <c r="H36" s="48" t="s">
        <v>334</v>
      </c>
      <c r="I36" s="48"/>
      <c r="J36" s="84"/>
      <c r="K36" s="85"/>
      <c r="L36" s="47"/>
      <c r="M36" s="3">
        <v>2.5249999999999999</v>
      </c>
      <c r="N36" s="3">
        <f t="shared" ref="N36:N80" si="71">3.35+0.2</f>
        <v>3.5500000000000003</v>
      </c>
      <c r="O36" s="22">
        <v>0.2</v>
      </c>
      <c r="P36" s="23">
        <v>1</v>
      </c>
      <c r="Q36" s="3"/>
      <c r="R36" s="3"/>
      <c r="S36" s="3"/>
      <c r="T36" s="3"/>
      <c r="U36" s="3"/>
      <c r="V36" s="23"/>
      <c r="W36" s="3"/>
      <c r="X36" s="3"/>
      <c r="Y36" s="17"/>
      <c r="Z36" s="17"/>
      <c r="AA36" s="3">
        <f>0.2*3.55</f>
        <v>0.71</v>
      </c>
      <c r="AB36" s="3"/>
      <c r="AC36" s="3">
        <f t="shared" si="62"/>
        <v>17.927500000000002</v>
      </c>
      <c r="AD36" s="3"/>
      <c r="AE36" s="3"/>
      <c r="AF36" s="3"/>
      <c r="AG36" s="3"/>
      <c r="AH36" s="3"/>
      <c r="AI36" s="3"/>
      <c r="AJ36" s="3"/>
      <c r="AK36" s="12">
        <f t="shared" si="36"/>
        <v>8.963750000000001</v>
      </c>
      <c r="AL36" s="12">
        <f t="shared" si="37"/>
        <v>8.963750000000001</v>
      </c>
      <c r="AM36" s="12">
        <f t="shared" si="38"/>
        <v>1.7927500000000003</v>
      </c>
      <c r="AN36" s="12">
        <f t="shared" si="39"/>
        <v>1.7927500000000003</v>
      </c>
      <c r="AO36" s="12" t="str">
        <f t="shared" si="40"/>
        <v/>
      </c>
      <c r="AP36" s="12">
        <f t="shared" si="41"/>
        <v>2.5249999999999999</v>
      </c>
      <c r="AQ36" s="12">
        <f t="shared" si="42"/>
        <v>0.71</v>
      </c>
      <c r="AR36" s="12">
        <f t="shared" si="43"/>
        <v>17.927500000000002</v>
      </c>
      <c r="AS36" s="12" t="str">
        <f t="shared" si="8"/>
        <v/>
      </c>
      <c r="AT36" s="12" t="str">
        <f t="shared" si="9"/>
        <v/>
      </c>
      <c r="AU36" s="12" t="str">
        <f t="shared" si="10"/>
        <v/>
      </c>
      <c r="AV36" s="17"/>
      <c r="AX36" s="4"/>
    </row>
    <row r="37" spans="1:50" x14ac:dyDescent="0.25">
      <c r="A37" s="43" t="s">
        <v>275</v>
      </c>
      <c r="B37" s="52"/>
      <c r="C37" s="44"/>
      <c r="D37" s="43"/>
      <c r="E37" s="52"/>
      <c r="F37" s="46"/>
      <c r="G37" s="76" t="s">
        <v>241</v>
      </c>
      <c r="H37" s="48" t="s">
        <v>334</v>
      </c>
      <c r="I37" s="48"/>
      <c r="J37" s="84"/>
      <c r="K37" s="85"/>
      <c r="L37" s="47"/>
      <c r="M37" s="3">
        <f>3.475</f>
        <v>3.4750000000000001</v>
      </c>
      <c r="N37" s="3">
        <f t="shared" si="71"/>
        <v>3.5500000000000003</v>
      </c>
      <c r="O37" s="22">
        <v>0.2</v>
      </c>
      <c r="P37" s="23">
        <v>1</v>
      </c>
      <c r="Q37" s="3"/>
      <c r="R37" s="3"/>
      <c r="S37" s="3"/>
      <c r="T37" s="3"/>
      <c r="U37" s="3"/>
      <c r="V37" s="23"/>
      <c r="W37" s="3"/>
      <c r="X37" s="3"/>
      <c r="Y37" s="17"/>
      <c r="Z37" s="17"/>
      <c r="AA37" s="3">
        <f>0.2*3.55</f>
        <v>0.71</v>
      </c>
      <c r="AB37" s="3"/>
      <c r="AC37" s="3">
        <f t="shared" ref="AC37:AC206" si="72">M37*N37*2</f>
        <v>24.672500000000003</v>
      </c>
      <c r="AD37" s="3"/>
      <c r="AE37" s="3"/>
      <c r="AF37" s="3"/>
      <c r="AG37" s="3"/>
      <c r="AH37" s="3"/>
      <c r="AI37" s="3"/>
      <c r="AJ37" s="3"/>
      <c r="AK37" s="12">
        <f t="shared" si="36"/>
        <v>12.336250000000001</v>
      </c>
      <c r="AL37" s="12">
        <f t="shared" si="37"/>
        <v>12.336250000000001</v>
      </c>
      <c r="AM37" s="12">
        <f t="shared" si="38"/>
        <v>2.4672500000000004</v>
      </c>
      <c r="AN37" s="12">
        <f t="shared" si="39"/>
        <v>2.4672500000000004</v>
      </c>
      <c r="AO37" s="12" t="str">
        <f t="shared" si="40"/>
        <v/>
      </c>
      <c r="AP37" s="12">
        <f t="shared" si="41"/>
        <v>3.4750000000000001</v>
      </c>
      <c r="AQ37" s="12">
        <f t="shared" si="42"/>
        <v>0.71</v>
      </c>
      <c r="AR37" s="12">
        <f t="shared" si="43"/>
        <v>24.672500000000003</v>
      </c>
      <c r="AS37" s="12" t="str">
        <f t="shared" si="8"/>
        <v/>
      </c>
      <c r="AT37" s="12" t="str">
        <f t="shared" si="9"/>
        <v/>
      </c>
      <c r="AU37" s="12" t="str">
        <f t="shared" si="10"/>
        <v/>
      </c>
      <c r="AV37" s="17"/>
      <c r="AX37" s="4"/>
    </row>
    <row r="38" spans="1:50" x14ac:dyDescent="0.25">
      <c r="A38" s="43" t="s">
        <v>275</v>
      </c>
      <c r="B38" s="52"/>
      <c r="C38" s="44"/>
      <c r="D38" s="43"/>
      <c r="E38" s="52"/>
      <c r="F38" s="46"/>
      <c r="G38" s="76" t="s">
        <v>242</v>
      </c>
      <c r="H38" s="48" t="s">
        <v>334</v>
      </c>
      <c r="I38" s="48"/>
      <c r="J38" s="84"/>
      <c r="K38" s="85"/>
      <c r="L38" s="47"/>
      <c r="M38" s="3">
        <f>2.95+3.375+2.075+0.2+1.3</f>
        <v>9.9</v>
      </c>
      <c r="N38" s="3">
        <f t="shared" si="71"/>
        <v>3.5500000000000003</v>
      </c>
      <c r="O38" s="22">
        <v>0.2</v>
      </c>
      <c r="P38" s="23">
        <v>1</v>
      </c>
      <c r="Q38" s="3"/>
      <c r="R38" s="3">
        <f>3.375*(3.55-1.35)+1.3*2.48</f>
        <v>10.648999999999999</v>
      </c>
      <c r="S38" s="3"/>
      <c r="T38" s="3"/>
      <c r="U38" s="3"/>
      <c r="V38" s="23"/>
      <c r="W38" s="3"/>
      <c r="X38" s="3"/>
      <c r="Y38" s="17"/>
      <c r="Z38" s="17"/>
      <c r="AA38" s="3">
        <f>(3.375+(3.55-1.35)*2+1.3+2.48*2)*0.2</f>
        <v>2.8070000000000004</v>
      </c>
      <c r="AB38" s="3"/>
      <c r="AC38" s="3">
        <f t="shared" si="72"/>
        <v>70.290000000000006</v>
      </c>
      <c r="AD38" s="3">
        <f>-R38*2</f>
        <v>-21.297999999999998</v>
      </c>
      <c r="AE38" s="3"/>
      <c r="AF38" s="3"/>
      <c r="AG38" s="3"/>
      <c r="AH38" s="3"/>
      <c r="AI38" s="3"/>
      <c r="AJ38" s="3"/>
      <c r="AK38" s="12">
        <f t="shared" si="36"/>
        <v>24.496000000000002</v>
      </c>
      <c r="AL38" s="12">
        <f t="shared" si="37"/>
        <v>24.496000000000002</v>
      </c>
      <c r="AM38" s="12">
        <f t="shared" si="38"/>
        <v>4.8992000000000004</v>
      </c>
      <c r="AN38" s="12">
        <f t="shared" si="39"/>
        <v>4.8992000000000004</v>
      </c>
      <c r="AO38" s="12" t="str">
        <f t="shared" si="40"/>
        <v/>
      </c>
      <c r="AP38" s="12">
        <f t="shared" si="41"/>
        <v>9.9</v>
      </c>
      <c r="AQ38" s="12">
        <f t="shared" si="42"/>
        <v>2.8070000000000004</v>
      </c>
      <c r="AR38" s="12">
        <f t="shared" si="43"/>
        <v>48.992000000000004</v>
      </c>
      <c r="AS38" s="12" t="str">
        <f t="shared" si="8"/>
        <v/>
      </c>
      <c r="AT38" s="12" t="str">
        <f t="shared" si="9"/>
        <v/>
      </c>
      <c r="AU38" s="12" t="str">
        <f t="shared" si="10"/>
        <v/>
      </c>
      <c r="AV38" s="17"/>
      <c r="AX38" s="4"/>
    </row>
    <row r="39" spans="1:50" x14ac:dyDescent="0.25">
      <c r="A39" s="43" t="s">
        <v>275</v>
      </c>
      <c r="B39" s="52"/>
      <c r="C39" s="44"/>
      <c r="D39" s="43"/>
      <c r="E39" s="52"/>
      <c r="F39" s="46"/>
      <c r="G39" s="76" t="s">
        <v>243</v>
      </c>
      <c r="H39" s="48" t="s">
        <v>334</v>
      </c>
      <c r="I39" s="48"/>
      <c r="J39" s="84"/>
      <c r="K39" s="85"/>
      <c r="L39" s="47"/>
      <c r="M39" s="3">
        <f>0.2+6.6</f>
        <v>6.8</v>
      </c>
      <c r="N39" s="3">
        <f>3.1+0.2</f>
        <v>3.3000000000000003</v>
      </c>
      <c r="O39" s="22">
        <v>0.2</v>
      </c>
      <c r="P39" s="23">
        <v>1</v>
      </c>
      <c r="Q39" s="3"/>
      <c r="R39" s="3">
        <f>1.05*3.3</f>
        <v>3.4649999999999999</v>
      </c>
      <c r="S39" s="3"/>
      <c r="T39" s="3"/>
      <c r="U39" s="3"/>
      <c r="V39" s="23"/>
      <c r="W39" s="3"/>
      <c r="X39" s="3"/>
      <c r="Y39" s="17"/>
      <c r="Z39" s="17"/>
      <c r="AA39" s="3">
        <f>0.2*2*3.3+0.2*3.6</f>
        <v>2.04</v>
      </c>
      <c r="AB39" s="3"/>
      <c r="AC39" s="3">
        <f t="shared" si="72"/>
        <v>44.88</v>
      </c>
      <c r="AD39" s="3">
        <f>-R39*2</f>
        <v>-6.93</v>
      </c>
      <c r="AE39" s="3"/>
      <c r="AF39" s="3"/>
      <c r="AG39" s="3"/>
      <c r="AH39" s="3"/>
      <c r="AI39" s="3"/>
      <c r="AJ39" s="3"/>
      <c r="AK39" s="12">
        <f t="shared" ref="AK39:AK40" si="73">IF(((M39*N39)-Q39-R39-S39+T39+U39)=0,"",((M39*N39)-Q39-R39-S39+T39+U39))</f>
        <v>18.975000000000001</v>
      </c>
      <c r="AL39" s="12">
        <f t="shared" ref="AL39:AL40" si="74">IF(PRODUCT(P39,AK39)=0,"",P39*AK39)</f>
        <v>18.975000000000001</v>
      </c>
      <c r="AM39" s="12">
        <f t="shared" ref="AM39:AM40" si="75">IF(PRODUCT(AK39,O39)=0,"",AK39*O39)</f>
        <v>3.7950000000000004</v>
      </c>
      <c r="AN39" s="12">
        <f t="shared" ref="AN39:AN40" si="76">IF(PRODUCT(AM39,P39)=0,"",AM39*P39)</f>
        <v>3.7950000000000004</v>
      </c>
      <c r="AO39" s="12" t="str">
        <f t="shared" ref="AO39:AO40" si="77">IF(N39*V39-W39+X39=0,"",N39*V39-W39+X39)</f>
        <v/>
      </c>
      <c r="AP39" s="12">
        <f t="shared" ref="AP39:AP40" si="78">IF(PRODUCT(M39,P39)=0,"",M39*P39)</f>
        <v>6.8</v>
      </c>
      <c r="AQ39" s="12">
        <f t="shared" ref="AQ39:AQ40" si="79">IF(AA39+AB39=0,"",AA39+AB39)</f>
        <v>2.04</v>
      </c>
      <c r="AR39" s="12">
        <f t="shared" ref="AR39:AR40" si="80">IF(AC39+AD39=0,"",AC39+AD39)</f>
        <v>37.950000000000003</v>
      </c>
      <c r="AS39" s="12" t="str">
        <f t="shared" si="8"/>
        <v/>
      </c>
      <c r="AT39" s="12" t="str">
        <f t="shared" si="9"/>
        <v/>
      </c>
      <c r="AU39" s="12" t="str">
        <f t="shared" si="10"/>
        <v/>
      </c>
      <c r="AV39" s="17"/>
      <c r="AX39" s="4"/>
    </row>
    <row r="40" spans="1:50" x14ac:dyDescent="0.25">
      <c r="A40" s="43" t="s">
        <v>275</v>
      </c>
      <c r="B40" s="52"/>
      <c r="C40" s="44"/>
      <c r="D40" s="43"/>
      <c r="E40" s="52"/>
      <c r="F40" s="46"/>
      <c r="G40" s="76" t="s">
        <v>244</v>
      </c>
      <c r="H40" s="48" t="s">
        <v>334</v>
      </c>
      <c r="I40" s="48"/>
      <c r="J40" s="84"/>
      <c r="K40" s="85"/>
      <c r="L40" s="47"/>
      <c r="M40" s="3">
        <v>1.23</v>
      </c>
      <c r="N40" s="3">
        <f t="shared" si="71"/>
        <v>3.5500000000000003</v>
      </c>
      <c r="O40" s="22">
        <v>0.2</v>
      </c>
      <c r="P40" s="23">
        <v>1</v>
      </c>
      <c r="Q40" s="3"/>
      <c r="R40" s="3"/>
      <c r="S40" s="3"/>
      <c r="T40" s="3"/>
      <c r="U40" s="3"/>
      <c r="V40" s="23"/>
      <c r="W40" s="3"/>
      <c r="X40" s="3"/>
      <c r="Y40" s="17"/>
      <c r="Z40" s="17"/>
      <c r="AA40" s="3">
        <f>0.2*2*3.55</f>
        <v>1.42</v>
      </c>
      <c r="AB40" s="3"/>
      <c r="AC40" s="3">
        <f t="shared" si="72"/>
        <v>8.7330000000000005</v>
      </c>
      <c r="AD40" s="3"/>
      <c r="AE40" s="3"/>
      <c r="AF40" s="3"/>
      <c r="AG40" s="3"/>
      <c r="AH40" s="3"/>
      <c r="AI40" s="3"/>
      <c r="AJ40" s="3"/>
      <c r="AK40" s="12">
        <f t="shared" si="73"/>
        <v>4.3665000000000003</v>
      </c>
      <c r="AL40" s="12">
        <f t="shared" si="74"/>
        <v>4.3665000000000003</v>
      </c>
      <c r="AM40" s="12">
        <f t="shared" si="75"/>
        <v>0.87330000000000008</v>
      </c>
      <c r="AN40" s="12">
        <f t="shared" si="76"/>
        <v>0.87330000000000008</v>
      </c>
      <c r="AO40" s="12" t="str">
        <f t="shared" si="77"/>
        <v/>
      </c>
      <c r="AP40" s="12">
        <f t="shared" si="78"/>
        <v>1.23</v>
      </c>
      <c r="AQ40" s="12">
        <f t="shared" si="79"/>
        <v>1.42</v>
      </c>
      <c r="AR40" s="12">
        <f t="shared" si="80"/>
        <v>8.7330000000000005</v>
      </c>
      <c r="AS40" s="12" t="str">
        <f t="shared" si="8"/>
        <v/>
      </c>
      <c r="AT40" s="12" t="str">
        <f t="shared" si="9"/>
        <v/>
      </c>
      <c r="AU40" s="12" t="str">
        <f t="shared" si="10"/>
        <v/>
      </c>
      <c r="AV40" s="17"/>
      <c r="AX40" s="4"/>
    </row>
    <row r="41" spans="1:50" x14ac:dyDescent="0.25">
      <c r="A41" s="43" t="s">
        <v>275</v>
      </c>
      <c r="B41" s="52"/>
      <c r="C41" s="44"/>
      <c r="D41" s="43"/>
      <c r="E41" s="52"/>
      <c r="F41" s="46"/>
      <c r="G41" s="76" t="s">
        <v>245</v>
      </c>
      <c r="H41" s="48" t="s">
        <v>334</v>
      </c>
      <c r="I41" s="48"/>
      <c r="J41" s="84"/>
      <c r="K41" s="85"/>
      <c r="L41" s="47"/>
      <c r="M41" s="3">
        <v>1.23</v>
      </c>
      <c r="N41" s="3">
        <f t="shared" si="71"/>
        <v>3.5500000000000003</v>
      </c>
      <c r="O41" s="22">
        <v>0.2</v>
      </c>
      <c r="P41" s="23">
        <v>1</v>
      </c>
      <c r="Q41" s="3"/>
      <c r="R41" s="3"/>
      <c r="S41" s="3"/>
      <c r="T41" s="3"/>
      <c r="U41" s="3"/>
      <c r="V41" s="23"/>
      <c r="W41" s="3"/>
      <c r="X41" s="3"/>
      <c r="Y41" s="17"/>
      <c r="Z41" s="17"/>
      <c r="AA41" s="3">
        <f>0.2*2*3.55</f>
        <v>1.42</v>
      </c>
      <c r="AB41" s="3"/>
      <c r="AC41" s="3">
        <f t="shared" si="72"/>
        <v>8.7330000000000005</v>
      </c>
      <c r="AD41" s="3"/>
      <c r="AE41" s="3"/>
      <c r="AF41" s="3"/>
      <c r="AG41" s="3"/>
      <c r="AH41" s="3"/>
      <c r="AI41" s="3"/>
      <c r="AJ41" s="3"/>
      <c r="AK41" s="12">
        <f t="shared" si="36"/>
        <v>4.3665000000000003</v>
      </c>
      <c r="AL41" s="12">
        <f t="shared" si="37"/>
        <v>4.3665000000000003</v>
      </c>
      <c r="AM41" s="12">
        <f t="shared" si="38"/>
        <v>0.87330000000000008</v>
      </c>
      <c r="AN41" s="12">
        <f t="shared" si="39"/>
        <v>0.87330000000000008</v>
      </c>
      <c r="AO41" s="12" t="str">
        <f t="shared" si="40"/>
        <v/>
      </c>
      <c r="AP41" s="12">
        <f t="shared" si="41"/>
        <v>1.23</v>
      </c>
      <c r="AQ41" s="12">
        <f t="shared" si="42"/>
        <v>1.42</v>
      </c>
      <c r="AR41" s="12">
        <f t="shared" si="43"/>
        <v>8.7330000000000005</v>
      </c>
      <c r="AS41" s="12" t="str">
        <f t="shared" si="8"/>
        <v/>
      </c>
      <c r="AT41" s="12" t="str">
        <f t="shared" si="9"/>
        <v/>
      </c>
      <c r="AU41" s="12" t="str">
        <f t="shared" si="10"/>
        <v/>
      </c>
      <c r="AV41" s="17"/>
      <c r="AX41" s="4"/>
    </row>
    <row r="42" spans="1:50" x14ac:dyDescent="0.25">
      <c r="A42" s="43" t="s">
        <v>275</v>
      </c>
      <c r="B42" s="52"/>
      <c r="C42" s="44"/>
      <c r="D42" s="43"/>
      <c r="E42" s="52"/>
      <c r="F42" s="46"/>
      <c r="G42" s="76" t="s">
        <v>246</v>
      </c>
      <c r="H42" s="48" t="s">
        <v>334</v>
      </c>
      <c r="I42" s="48"/>
      <c r="J42" s="84"/>
      <c r="K42" s="85"/>
      <c r="L42" s="47"/>
      <c r="M42" s="3">
        <v>0.7</v>
      </c>
      <c r="N42" s="3">
        <f>3.1+0.2</f>
        <v>3.3000000000000003</v>
      </c>
      <c r="O42" s="22">
        <v>0.2</v>
      </c>
      <c r="P42" s="23">
        <v>1</v>
      </c>
      <c r="Q42" s="3"/>
      <c r="R42" s="3"/>
      <c r="S42" s="3"/>
      <c r="T42" s="3"/>
      <c r="U42" s="3"/>
      <c r="V42" s="23"/>
      <c r="W42" s="3"/>
      <c r="X42" s="3"/>
      <c r="Y42" s="17"/>
      <c r="Z42" s="17"/>
      <c r="AA42" s="3">
        <f>0.2*2*3.3</f>
        <v>1.32</v>
      </c>
      <c r="AB42" s="3"/>
      <c r="AC42" s="3">
        <f t="shared" si="72"/>
        <v>4.62</v>
      </c>
      <c r="AD42" s="3"/>
      <c r="AE42" s="3"/>
      <c r="AF42" s="3"/>
      <c r="AG42" s="3"/>
      <c r="AH42" s="3"/>
      <c r="AI42" s="3"/>
      <c r="AJ42" s="3"/>
      <c r="AK42" s="12">
        <f t="shared" si="36"/>
        <v>2.31</v>
      </c>
      <c r="AL42" s="12">
        <f t="shared" si="37"/>
        <v>2.31</v>
      </c>
      <c r="AM42" s="12">
        <f t="shared" si="38"/>
        <v>0.46200000000000002</v>
      </c>
      <c r="AN42" s="12">
        <f t="shared" si="39"/>
        <v>0.46200000000000002</v>
      </c>
      <c r="AO42" s="12" t="str">
        <f t="shared" si="40"/>
        <v/>
      </c>
      <c r="AP42" s="12">
        <f t="shared" si="41"/>
        <v>0.7</v>
      </c>
      <c r="AQ42" s="12">
        <f t="shared" si="42"/>
        <v>1.32</v>
      </c>
      <c r="AR42" s="12">
        <f t="shared" si="43"/>
        <v>4.62</v>
      </c>
      <c r="AS42" s="12" t="str">
        <f t="shared" si="8"/>
        <v/>
      </c>
      <c r="AT42" s="12" t="str">
        <f t="shared" si="9"/>
        <v/>
      </c>
      <c r="AU42" s="12" t="str">
        <f t="shared" si="10"/>
        <v/>
      </c>
      <c r="AV42" s="17"/>
      <c r="AX42" s="4"/>
    </row>
    <row r="43" spans="1:50" x14ac:dyDescent="0.25">
      <c r="A43" s="43" t="s">
        <v>275</v>
      </c>
      <c r="B43" s="52"/>
      <c r="C43" s="44"/>
      <c r="D43" s="43"/>
      <c r="E43" s="52"/>
      <c r="F43" s="46"/>
      <c r="G43" s="76" t="s">
        <v>471</v>
      </c>
      <c r="H43" s="48" t="s">
        <v>334</v>
      </c>
      <c r="I43" s="48"/>
      <c r="J43" s="84"/>
      <c r="K43" s="85"/>
      <c r="L43" s="47" t="s">
        <v>442</v>
      </c>
      <c r="M43" s="3">
        <v>6.65</v>
      </c>
      <c r="N43" s="3">
        <v>0.25</v>
      </c>
      <c r="O43" s="22">
        <v>0.2</v>
      </c>
      <c r="P43" s="23">
        <v>1</v>
      </c>
      <c r="Q43" s="3"/>
      <c r="R43" s="3"/>
      <c r="S43" s="3"/>
      <c r="T43" s="3"/>
      <c r="U43" s="3"/>
      <c r="V43" s="23"/>
      <c r="W43" s="3"/>
      <c r="X43" s="3"/>
      <c r="Y43" s="17"/>
      <c r="Z43" s="17"/>
      <c r="AA43" s="3"/>
      <c r="AB43" s="3"/>
      <c r="AC43" s="3">
        <f t="shared" ref="AC43" si="81">M43*N43*2</f>
        <v>3.3250000000000002</v>
      </c>
      <c r="AD43" s="3"/>
      <c r="AE43" s="3"/>
      <c r="AF43" s="3"/>
      <c r="AG43" s="3"/>
      <c r="AH43" s="3"/>
      <c r="AI43" s="3"/>
      <c r="AJ43" s="3"/>
      <c r="AK43" s="12">
        <f t="shared" ref="AK43" si="82">IF(((M43*N43)-Q43-R43-S43+T43+U43)=0,"",((M43*N43)-Q43-R43-S43+T43+U43))</f>
        <v>1.6625000000000001</v>
      </c>
      <c r="AL43" s="12">
        <f t="shared" ref="AL43" si="83">IF(PRODUCT(P43,AK43)=0,"",P43*AK43)</f>
        <v>1.6625000000000001</v>
      </c>
      <c r="AM43" s="12">
        <f t="shared" ref="AM43" si="84">IF(PRODUCT(AK43,O43)=0,"",AK43*O43)</f>
        <v>0.33250000000000002</v>
      </c>
      <c r="AN43" s="12">
        <f t="shared" ref="AN43" si="85">IF(PRODUCT(AM43,P43)=0,"",AM43*P43)</f>
        <v>0.33250000000000002</v>
      </c>
      <c r="AO43" s="12" t="str">
        <f t="shared" ref="AO43" si="86">IF(N43*V43-W43+X43=0,"",N43*V43-W43+X43)</f>
        <v/>
      </c>
      <c r="AP43" s="12">
        <f t="shared" ref="AP43" si="87">IF(PRODUCT(M43,P43)=0,"",M43*P43)</f>
        <v>6.65</v>
      </c>
      <c r="AQ43" s="12" t="str">
        <f t="shared" ref="AQ43" si="88">IF(AA43+AB43=0,"",AA43+AB43)</f>
        <v/>
      </c>
      <c r="AR43" s="12">
        <f t="shared" ref="AR43" si="89">IF(AC43+AD43=0,"",AC43+AD43)</f>
        <v>3.3250000000000002</v>
      </c>
      <c r="AS43" s="12" t="str">
        <f t="shared" si="8"/>
        <v/>
      </c>
      <c r="AT43" s="12" t="str">
        <f t="shared" si="9"/>
        <v/>
      </c>
      <c r="AU43" s="12" t="str">
        <f t="shared" si="10"/>
        <v/>
      </c>
      <c r="AV43" s="17"/>
      <c r="AX43" s="4"/>
    </row>
    <row r="44" spans="1:50" x14ac:dyDescent="0.25">
      <c r="A44" s="43" t="s">
        <v>275</v>
      </c>
      <c r="B44" s="52"/>
      <c r="C44" s="44"/>
      <c r="D44" s="43"/>
      <c r="E44" s="52"/>
      <c r="F44" s="46"/>
      <c r="G44" s="76" t="s">
        <v>247</v>
      </c>
      <c r="H44" s="48" t="s">
        <v>334</v>
      </c>
      <c r="I44" s="48"/>
      <c r="J44" s="84"/>
      <c r="K44" s="85"/>
      <c r="L44" s="47"/>
      <c r="M44" s="3">
        <v>1.2250000000000001</v>
      </c>
      <c r="N44" s="3">
        <f t="shared" si="71"/>
        <v>3.5500000000000003</v>
      </c>
      <c r="O44" s="22">
        <v>0.2</v>
      </c>
      <c r="P44" s="23">
        <v>1</v>
      </c>
      <c r="Q44" s="3"/>
      <c r="R44" s="3"/>
      <c r="S44" s="3"/>
      <c r="T44" s="3"/>
      <c r="U44" s="3"/>
      <c r="V44" s="23"/>
      <c r="W44" s="3"/>
      <c r="X44" s="3"/>
      <c r="Y44" s="17"/>
      <c r="Z44" s="17"/>
      <c r="AA44" s="3">
        <f>0.2*3.3+0.2*3.55</f>
        <v>1.37</v>
      </c>
      <c r="AB44" s="3"/>
      <c r="AC44" s="3">
        <f t="shared" si="72"/>
        <v>8.6975000000000016</v>
      </c>
      <c r="AD44" s="3"/>
      <c r="AE44" s="3"/>
      <c r="AF44" s="3"/>
      <c r="AG44" s="3"/>
      <c r="AH44" s="3"/>
      <c r="AI44" s="3"/>
      <c r="AJ44" s="3"/>
      <c r="AK44" s="12">
        <f t="shared" si="36"/>
        <v>4.3487500000000008</v>
      </c>
      <c r="AL44" s="12">
        <f t="shared" si="37"/>
        <v>4.3487500000000008</v>
      </c>
      <c r="AM44" s="12">
        <f t="shared" si="38"/>
        <v>0.86975000000000025</v>
      </c>
      <c r="AN44" s="12">
        <f t="shared" si="39"/>
        <v>0.86975000000000025</v>
      </c>
      <c r="AO44" s="12" t="str">
        <f t="shared" si="40"/>
        <v/>
      </c>
      <c r="AP44" s="12">
        <f t="shared" si="41"/>
        <v>1.2250000000000001</v>
      </c>
      <c r="AQ44" s="12">
        <f t="shared" si="42"/>
        <v>1.37</v>
      </c>
      <c r="AR44" s="12">
        <f t="shared" si="43"/>
        <v>8.6975000000000016</v>
      </c>
      <c r="AS44" s="12" t="str">
        <f t="shared" si="8"/>
        <v/>
      </c>
      <c r="AT44" s="12" t="str">
        <f t="shared" si="9"/>
        <v/>
      </c>
      <c r="AU44" s="12" t="str">
        <f t="shared" si="10"/>
        <v/>
      </c>
      <c r="AV44" s="17"/>
      <c r="AX44" s="4"/>
    </row>
    <row r="45" spans="1:50" x14ac:dyDescent="0.25">
      <c r="A45" s="43" t="s">
        <v>275</v>
      </c>
      <c r="B45" s="52"/>
      <c r="C45" s="44"/>
      <c r="D45" s="43"/>
      <c r="E45" s="52"/>
      <c r="F45" s="46"/>
      <c r="G45" s="76" t="s">
        <v>248</v>
      </c>
      <c r="H45" s="48" t="s">
        <v>334</v>
      </c>
      <c r="I45" s="48"/>
      <c r="J45" s="84"/>
      <c r="K45" s="85"/>
      <c r="L45" s="47"/>
      <c r="M45" s="3">
        <v>0.7</v>
      </c>
      <c r="N45" s="3">
        <f>3.1+0.2</f>
        <v>3.3000000000000003</v>
      </c>
      <c r="O45" s="22">
        <v>0.2</v>
      </c>
      <c r="P45" s="23">
        <v>1</v>
      </c>
      <c r="Q45" s="3"/>
      <c r="R45" s="3"/>
      <c r="S45" s="3"/>
      <c r="T45" s="3"/>
      <c r="U45" s="3"/>
      <c r="V45" s="23"/>
      <c r="W45" s="3"/>
      <c r="X45" s="3"/>
      <c r="Y45" s="17"/>
      <c r="Z45" s="17"/>
      <c r="AA45" s="3">
        <f>0.2*3.3*2</f>
        <v>1.32</v>
      </c>
      <c r="AB45" s="3"/>
      <c r="AC45" s="3">
        <f t="shared" si="72"/>
        <v>4.62</v>
      </c>
      <c r="AD45" s="3"/>
      <c r="AE45" s="3"/>
      <c r="AF45" s="3"/>
      <c r="AG45" s="3"/>
      <c r="AH45" s="3"/>
      <c r="AI45" s="3"/>
      <c r="AJ45" s="3"/>
      <c r="AK45" s="12">
        <f t="shared" si="36"/>
        <v>2.31</v>
      </c>
      <c r="AL45" s="12">
        <f t="shared" si="37"/>
        <v>2.31</v>
      </c>
      <c r="AM45" s="12">
        <f t="shared" si="38"/>
        <v>0.46200000000000002</v>
      </c>
      <c r="AN45" s="12">
        <f t="shared" si="39"/>
        <v>0.46200000000000002</v>
      </c>
      <c r="AO45" s="12" t="str">
        <f t="shared" si="40"/>
        <v/>
      </c>
      <c r="AP45" s="12">
        <f t="shared" si="41"/>
        <v>0.7</v>
      </c>
      <c r="AQ45" s="12">
        <f t="shared" si="42"/>
        <v>1.32</v>
      </c>
      <c r="AR45" s="12">
        <f t="shared" si="43"/>
        <v>4.62</v>
      </c>
      <c r="AS45" s="12" t="str">
        <f t="shared" si="8"/>
        <v/>
      </c>
      <c r="AT45" s="12" t="str">
        <f t="shared" si="9"/>
        <v/>
      </c>
      <c r="AU45" s="12" t="str">
        <f t="shared" si="10"/>
        <v/>
      </c>
      <c r="AV45" s="17"/>
      <c r="AX45" s="4"/>
    </row>
    <row r="46" spans="1:50" x14ac:dyDescent="0.25">
      <c r="A46" s="43" t="s">
        <v>275</v>
      </c>
      <c r="B46" s="52"/>
      <c r="C46" s="44"/>
      <c r="D46" s="43"/>
      <c r="E46" s="52"/>
      <c r="F46" s="46"/>
      <c r="G46" s="76" t="s">
        <v>249</v>
      </c>
      <c r="H46" s="48" t="s">
        <v>334</v>
      </c>
      <c r="I46" s="48"/>
      <c r="J46" s="84"/>
      <c r="K46" s="85"/>
      <c r="L46" s="47"/>
      <c r="M46" s="3">
        <f>8.1-M47</f>
        <v>4.4000000000000004</v>
      </c>
      <c r="N46" s="3">
        <f t="shared" si="71"/>
        <v>3.5500000000000003</v>
      </c>
      <c r="O46" s="22">
        <v>0.2</v>
      </c>
      <c r="P46" s="23">
        <v>1</v>
      </c>
      <c r="Q46" s="3"/>
      <c r="R46" s="3">
        <f>0.8*2.25*2</f>
        <v>3.6</v>
      </c>
      <c r="S46" s="3"/>
      <c r="T46" s="3"/>
      <c r="U46" s="3"/>
      <c r="V46" s="23"/>
      <c r="W46" s="3"/>
      <c r="X46" s="3"/>
      <c r="Y46" s="17"/>
      <c r="Z46" s="17"/>
      <c r="AA46" s="3">
        <f>0.2*3.55+(0.8+2.25*2)*2*0.2</f>
        <v>2.83</v>
      </c>
      <c r="AB46" s="3"/>
      <c r="AC46" s="3">
        <f t="shared" si="72"/>
        <v>31.240000000000006</v>
      </c>
      <c r="AD46" s="3">
        <f>-R46*2</f>
        <v>-7.2</v>
      </c>
      <c r="AE46" s="3"/>
      <c r="AF46" s="3"/>
      <c r="AG46" s="3"/>
      <c r="AH46" s="3"/>
      <c r="AI46" s="3"/>
      <c r="AJ46" s="3"/>
      <c r="AK46" s="12">
        <f t="shared" si="36"/>
        <v>12.020000000000003</v>
      </c>
      <c r="AL46" s="12">
        <f t="shared" si="37"/>
        <v>12.020000000000003</v>
      </c>
      <c r="AM46" s="12">
        <f t="shared" si="38"/>
        <v>2.4040000000000008</v>
      </c>
      <c r="AN46" s="12">
        <f t="shared" si="39"/>
        <v>2.4040000000000008</v>
      </c>
      <c r="AO46" s="12" t="str">
        <f t="shared" si="40"/>
        <v/>
      </c>
      <c r="AP46" s="12">
        <f t="shared" si="41"/>
        <v>4.4000000000000004</v>
      </c>
      <c r="AQ46" s="12">
        <f t="shared" si="42"/>
        <v>2.83</v>
      </c>
      <c r="AR46" s="12">
        <f t="shared" si="43"/>
        <v>24.040000000000006</v>
      </c>
      <c r="AS46" s="12" t="str">
        <f t="shared" si="8"/>
        <v/>
      </c>
      <c r="AT46" s="12" t="str">
        <f t="shared" si="9"/>
        <v/>
      </c>
      <c r="AU46" s="12" t="str">
        <f t="shared" si="10"/>
        <v/>
      </c>
      <c r="AV46" s="17"/>
      <c r="AX46" s="4"/>
    </row>
    <row r="47" spans="1:50" x14ac:dyDescent="0.25">
      <c r="A47" s="43" t="s">
        <v>275</v>
      </c>
      <c r="B47" s="52"/>
      <c r="C47" s="44"/>
      <c r="D47" s="43"/>
      <c r="E47" s="52"/>
      <c r="F47" s="46"/>
      <c r="G47" s="76"/>
      <c r="H47" s="48" t="s">
        <v>334</v>
      </c>
      <c r="I47" s="48"/>
      <c r="J47" s="84"/>
      <c r="K47" s="85"/>
      <c r="L47" s="47"/>
      <c r="M47" s="3">
        <f>0.25+1.15*3</f>
        <v>3.6999999999999997</v>
      </c>
      <c r="N47" s="3">
        <f>3.15+0.2</f>
        <v>3.35</v>
      </c>
      <c r="O47" s="22">
        <v>0.2</v>
      </c>
      <c r="P47" s="23">
        <v>1</v>
      </c>
      <c r="Q47" s="3"/>
      <c r="R47" s="3"/>
      <c r="S47" s="3"/>
      <c r="T47" s="3"/>
      <c r="U47" s="3"/>
      <c r="V47" s="23"/>
      <c r="W47" s="3"/>
      <c r="X47" s="3"/>
      <c r="Y47" s="17"/>
      <c r="Z47" s="17"/>
      <c r="AA47" s="3"/>
      <c r="AB47" s="3"/>
      <c r="AC47" s="3">
        <f t="shared" si="72"/>
        <v>24.79</v>
      </c>
      <c r="AD47" s="3">
        <f>-0.2*3.35</f>
        <v>-0.67</v>
      </c>
      <c r="AE47" s="3"/>
      <c r="AF47" s="3"/>
      <c r="AG47" s="3"/>
      <c r="AH47" s="3"/>
      <c r="AI47" s="3"/>
      <c r="AJ47" s="3"/>
      <c r="AK47" s="12">
        <f t="shared" si="36"/>
        <v>12.395</v>
      </c>
      <c r="AL47" s="12">
        <f t="shared" si="37"/>
        <v>12.395</v>
      </c>
      <c r="AM47" s="12">
        <f t="shared" si="38"/>
        <v>2.4790000000000001</v>
      </c>
      <c r="AN47" s="12">
        <f t="shared" si="39"/>
        <v>2.4790000000000001</v>
      </c>
      <c r="AO47" s="12" t="str">
        <f t="shared" si="40"/>
        <v/>
      </c>
      <c r="AP47" s="12">
        <f t="shared" si="41"/>
        <v>3.6999999999999997</v>
      </c>
      <c r="AQ47" s="12" t="str">
        <f t="shared" si="42"/>
        <v/>
      </c>
      <c r="AR47" s="12">
        <f t="shared" si="43"/>
        <v>24.119999999999997</v>
      </c>
      <c r="AS47" s="12" t="str">
        <f t="shared" si="8"/>
        <v/>
      </c>
      <c r="AT47" s="12" t="str">
        <f t="shared" si="9"/>
        <v/>
      </c>
      <c r="AU47" s="12" t="str">
        <f t="shared" si="10"/>
        <v/>
      </c>
      <c r="AV47" s="17"/>
      <c r="AX47" s="4"/>
    </row>
    <row r="48" spans="1:50" x14ac:dyDescent="0.25">
      <c r="A48" s="43" t="s">
        <v>275</v>
      </c>
      <c r="B48" s="52"/>
      <c r="C48" s="44"/>
      <c r="D48" s="43"/>
      <c r="E48" s="52"/>
      <c r="F48" s="46"/>
      <c r="G48" s="76" t="s">
        <v>472</v>
      </c>
      <c r="H48" s="48" t="s">
        <v>334</v>
      </c>
      <c r="I48" s="48"/>
      <c r="J48" s="84"/>
      <c r="K48" s="85"/>
      <c r="L48" s="47" t="s">
        <v>442</v>
      </c>
      <c r="M48" s="3">
        <f>2.4+0.2+1.79</f>
        <v>4.3900000000000006</v>
      </c>
      <c r="N48" s="3">
        <v>0.25</v>
      </c>
      <c r="O48" s="22">
        <v>0.25</v>
      </c>
      <c r="P48" s="23">
        <v>1</v>
      </c>
      <c r="Q48" s="3"/>
      <c r="R48" s="3"/>
      <c r="S48" s="3"/>
      <c r="T48" s="3"/>
      <c r="U48" s="3"/>
      <c r="V48" s="23"/>
      <c r="W48" s="3"/>
      <c r="X48" s="3"/>
      <c r="Y48" s="17"/>
      <c r="Z48" s="17"/>
      <c r="AA48" s="3"/>
      <c r="AB48" s="3"/>
      <c r="AC48" s="3">
        <f t="shared" ref="AC48" si="90">M48*N48*2</f>
        <v>2.1950000000000003</v>
      </c>
      <c r="AD48" s="3"/>
      <c r="AE48" s="3"/>
      <c r="AF48" s="3"/>
      <c r="AG48" s="3"/>
      <c r="AH48" s="3"/>
      <c r="AI48" s="3"/>
      <c r="AJ48" s="3"/>
      <c r="AK48" s="12">
        <f t="shared" ref="AK48" si="91">IF(((M48*N48)-Q48-R48-S48+T48+U48)=0,"",((M48*N48)-Q48-R48-S48+T48+U48))</f>
        <v>1.0975000000000001</v>
      </c>
      <c r="AL48" s="12">
        <f t="shared" ref="AL48" si="92">IF(PRODUCT(P48,AK48)=0,"",P48*AK48)</f>
        <v>1.0975000000000001</v>
      </c>
      <c r="AM48" s="12">
        <f t="shared" ref="AM48" si="93">IF(PRODUCT(AK48,O48)=0,"",AK48*O48)</f>
        <v>0.27437500000000004</v>
      </c>
      <c r="AN48" s="12">
        <f t="shared" ref="AN48" si="94">IF(PRODUCT(AM48,P48)=0,"",AM48*P48)</f>
        <v>0.27437500000000004</v>
      </c>
      <c r="AO48" s="12" t="str">
        <f t="shared" ref="AO48" si="95">IF(N48*V48-W48+X48=0,"",N48*V48-W48+X48)</f>
        <v/>
      </c>
      <c r="AP48" s="12">
        <f t="shared" ref="AP48" si="96">IF(PRODUCT(M48,P48)=0,"",M48*P48)</f>
        <v>4.3900000000000006</v>
      </c>
      <c r="AQ48" s="12" t="str">
        <f t="shared" ref="AQ48" si="97">IF(AA48+AB48=0,"",AA48+AB48)</f>
        <v/>
      </c>
      <c r="AR48" s="12">
        <f t="shared" ref="AR48" si="98">IF(AC48+AD48=0,"",AC48+AD48)</f>
        <v>2.1950000000000003</v>
      </c>
      <c r="AS48" s="12" t="str">
        <f t="shared" si="8"/>
        <v/>
      </c>
      <c r="AT48" s="12" t="str">
        <f t="shared" si="9"/>
        <v/>
      </c>
      <c r="AU48" s="12" t="str">
        <f t="shared" si="10"/>
        <v/>
      </c>
      <c r="AV48" s="17"/>
      <c r="AX48" s="4"/>
    </row>
    <row r="49" spans="1:50" x14ac:dyDescent="0.25">
      <c r="A49" s="43" t="s">
        <v>275</v>
      </c>
      <c r="B49" s="52"/>
      <c r="C49" s="44"/>
      <c r="D49" s="43"/>
      <c r="E49" s="52"/>
      <c r="F49" s="46"/>
      <c r="G49" s="76" t="s">
        <v>250</v>
      </c>
      <c r="H49" s="48" t="s">
        <v>334</v>
      </c>
      <c r="I49" s="48"/>
      <c r="J49" s="84"/>
      <c r="K49" s="85"/>
      <c r="L49" s="47"/>
      <c r="M49" s="3">
        <v>5.25</v>
      </c>
      <c r="N49" s="3">
        <f>3.1+0.2</f>
        <v>3.3000000000000003</v>
      </c>
      <c r="O49" s="22">
        <v>0.2</v>
      </c>
      <c r="P49" s="23">
        <v>1</v>
      </c>
      <c r="Q49" s="3"/>
      <c r="R49" s="3"/>
      <c r="S49" s="3"/>
      <c r="T49" s="3"/>
      <c r="U49" s="3"/>
      <c r="V49" s="23"/>
      <c r="W49" s="3"/>
      <c r="X49" s="3"/>
      <c r="Y49" s="17"/>
      <c r="Z49" s="17"/>
      <c r="AA49" s="3">
        <f>0.2*3.3</f>
        <v>0.66</v>
      </c>
      <c r="AB49" s="3"/>
      <c r="AC49" s="3">
        <f t="shared" si="72"/>
        <v>34.650000000000006</v>
      </c>
      <c r="AD49" s="3"/>
      <c r="AE49" s="3"/>
      <c r="AF49" s="3"/>
      <c r="AG49" s="3"/>
      <c r="AH49" s="3"/>
      <c r="AI49" s="3"/>
      <c r="AJ49" s="3"/>
      <c r="AK49" s="12">
        <f t="shared" si="36"/>
        <v>17.325000000000003</v>
      </c>
      <c r="AL49" s="12">
        <f t="shared" si="37"/>
        <v>17.325000000000003</v>
      </c>
      <c r="AM49" s="12">
        <f t="shared" si="38"/>
        <v>3.4650000000000007</v>
      </c>
      <c r="AN49" s="12">
        <f t="shared" si="39"/>
        <v>3.4650000000000007</v>
      </c>
      <c r="AO49" s="12" t="str">
        <f t="shared" si="40"/>
        <v/>
      </c>
      <c r="AP49" s="12">
        <f t="shared" si="41"/>
        <v>5.25</v>
      </c>
      <c r="AQ49" s="12">
        <f t="shared" si="42"/>
        <v>0.66</v>
      </c>
      <c r="AR49" s="12">
        <f t="shared" si="43"/>
        <v>34.650000000000006</v>
      </c>
      <c r="AS49" s="12" t="str">
        <f t="shared" si="8"/>
        <v/>
      </c>
      <c r="AT49" s="12" t="str">
        <f t="shared" si="9"/>
        <v/>
      </c>
      <c r="AU49" s="12" t="str">
        <f t="shared" si="10"/>
        <v/>
      </c>
      <c r="AV49" s="17"/>
      <c r="AX49" s="4"/>
    </row>
    <row r="50" spans="1:50" x14ac:dyDescent="0.25">
      <c r="A50" s="43" t="s">
        <v>275</v>
      </c>
      <c r="B50" s="52"/>
      <c r="C50" s="44"/>
      <c r="D50" s="43"/>
      <c r="E50" s="52"/>
      <c r="F50" s="46"/>
      <c r="G50" s="76" t="s">
        <v>475</v>
      </c>
      <c r="H50" s="48" t="s">
        <v>334</v>
      </c>
      <c r="I50" s="48"/>
      <c r="J50" s="84"/>
      <c r="K50" s="85"/>
      <c r="L50" s="47" t="s">
        <v>442</v>
      </c>
      <c r="M50" s="3">
        <f>PI()*2</f>
        <v>6.2831853071795862</v>
      </c>
      <c r="N50" s="3">
        <f>3.58-3.3</f>
        <v>0.28000000000000025</v>
      </c>
      <c r="O50" s="22">
        <v>0.15</v>
      </c>
      <c r="P50" s="23">
        <v>1</v>
      </c>
      <c r="Q50" s="3"/>
      <c r="R50" s="3"/>
      <c r="S50" s="3"/>
      <c r="T50" s="3"/>
      <c r="U50" s="3"/>
      <c r="V50" s="23"/>
      <c r="W50" s="3"/>
      <c r="X50" s="3"/>
      <c r="Y50" s="17"/>
      <c r="Z50" s="17"/>
      <c r="AA50" s="3"/>
      <c r="AB50" s="3"/>
      <c r="AC50" s="3">
        <f>(PI()*2+PI()*1.7)*N50</f>
        <v>3.2546899891190284</v>
      </c>
      <c r="AD50" s="3"/>
      <c r="AE50" s="3"/>
      <c r="AF50" s="3"/>
      <c r="AG50" s="3"/>
      <c r="AH50" s="3"/>
      <c r="AI50" s="3"/>
      <c r="AJ50" s="3"/>
      <c r="AK50" s="12">
        <f t="shared" ref="AK50:AK51" si="99">IF(((M50*N50)-Q50-R50-S50+T50+U50)=0,"",((M50*N50)-Q50-R50-S50+T50+U50))</f>
        <v>1.7592918860102857</v>
      </c>
      <c r="AL50" s="12">
        <f t="shared" ref="AL50:AL51" si="100">IF(PRODUCT(P50,AK50)=0,"",P50*AK50)</f>
        <v>1.7592918860102857</v>
      </c>
      <c r="AM50" s="12">
        <f t="shared" ref="AM50:AM51" si="101">IF(PRODUCT(AK50,O50)=0,"",AK50*O50)</f>
        <v>0.26389378290154286</v>
      </c>
      <c r="AN50" s="12">
        <f t="shared" ref="AN50:AN51" si="102">IF(PRODUCT(AM50,P50)=0,"",AM50*P50)</f>
        <v>0.26389378290154286</v>
      </c>
      <c r="AO50" s="12" t="str">
        <f t="shared" ref="AO50:AO51" si="103">IF(N50*V50-W50+X50=0,"",N50*V50-W50+X50)</f>
        <v/>
      </c>
      <c r="AP50" s="12">
        <f t="shared" ref="AP50:AP51" si="104">IF(PRODUCT(M50,P50)=0,"",M50*P50)</f>
        <v>6.2831853071795862</v>
      </c>
      <c r="AQ50" s="12" t="str">
        <f t="shared" ref="AQ50:AQ51" si="105">IF(AA50+AB50=0,"",AA50+AB50)</f>
        <v/>
      </c>
      <c r="AR50" s="12">
        <f t="shared" ref="AR50:AR51" si="106">IF(AC50+AD50=0,"",AC50+AD50)</f>
        <v>3.2546899891190284</v>
      </c>
      <c r="AS50" s="12" t="str">
        <f t="shared" si="8"/>
        <v/>
      </c>
      <c r="AT50" s="12" t="str">
        <f t="shared" si="9"/>
        <v/>
      </c>
      <c r="AU50" s="12" t="str">
        <f t="shared" si="10"/>
        <v/>
      </c>
      <c r="AV50" s="17"/>
      <c r="AX50" s="4"/>
    </row>
    <row r="51" spans="1:50" x14ac:dyDescent="0.25">
      <c r="A51" s="43" t="s">
        <v>275</v>
      </c>
      <c r="B51" s="52"/>
      <c r="C51" s="44"/>
      <c r="D51" s="43"/>
      <c r="E51" s="52"/>
      <c r="F51" s="46"/>
      <c r="G51" s="76" t="s">
        <v>476</v>
      </c>
      <c r="H51" s="48" t="s">
        <v>334</v>
      </c>
      <c r="I51" s="48"/>
      <c r="J51" s="84"/>
      <c r="K51" s="85"/>
      <c r="L51" s="47" t="s">
        <v>442</v>
      </c>
      <c r="M51" s="3">
        <f>PI()*1.5</f>
        <v>4.7123889803846897</v>
      </c>
      <c r="N51" s="3">
        <f>3.58-3.3</f>
        <v>0.28000000000000025</v>
      </c>
      <c r="O51" s="22">
        <v>0.15</v>
      </c>
      <c r="P51" s="23">
        <v>1</v>
      </c>
      <c r="Q51" s="3"/>
      <c r="R51" s="3"/>
      <c r="S51" s="3"/>
      <c r="T51" s="3"/>
      <c r="U51" s="3"/>
      <c r="V51" s="23"/>
      <c r="W51" s="3"/>
      <c r="X51" s="3"/>
      <c r="Y51" s="17"/>
      <c r="Z51" s="17"/>
      <c r="AA51" s="3"/>
      <c r="AB51" s="3"/>
      <c r="AC51" s="3">
        <f>(PI()*1.5+PI()*1.2)*N51</f>
        <v>2.3750440461138855</v>
      </c>
      <c r="AD51" s="3"/>
      <c r="AE51" s="3"/>
      <c r="AF51" s="3"/>
      <c r="AG51" s="3"/>
      <c r="AH51" s="3"/>
      <c r="AI51" s="3"/>
      <c r="AJ51" s="3"/>
      <c r="AK51" s="12">
        <f t="shared" si="99"/>
        <v>1.3194689145077143</v>
      </c>
      <c r="AL51" s="12">
        <f t="shared" si="100"/>
        <v>1.3194689145077143</v>
      </c>
      <c r="AM51" s="12">
        <f t="shared" si="101"/>
        <v>0.19792033717615715</v>
      </c>
      <c r="AN51" s="12">
        <f t="shared" si="102"/>
        <v>0.19792033717615715</v>
      </c>
      <c r="AO51" s="12" t="str">
        <f t="shared" si="103"/>
        <v/>
      </c>
      <c r="AP51" s="12">
        <f t="shared" si="104"/>
        <v>4.7123889803846897</v>
      </c>
      <c r="AQ51" s="12" t="str">
        <f t="shared" si="105"/>
        <v/>
      </c>
      <c r="AR51" s="12">
        <f t="shared" si="106"/>
        <v>2.3750440461138855</v>
      </c>
      <c r="AS51" s="12" t="str">
        <f t="shared" si="8"/>
        <v/>
      </c>
      <c r="AT51" s="12" t="str">
        <f t="shared" si="9"/>
        <v/>
      </c>
      <c r="AU51" s="12" t="str">
        <f t="shared" si="10"/>
        <v/>
      </c>
      <c r="AV51" s="17"/>
      <c r="AX51" s="4"/>
    </row>
    <row r="52" spans="1:50" x14ac:dyDescent="0.25">
      <c r="A52" s="43" t="s">
        <v>275</v>
      </c>
      <c r="B52" s="52"/>
      <c r="C52" s="44"/>
      <c r="D52" s="43"/>
      <c r="E52" s="52"/>
      <c r="F52" s="46"/>
      <c r="G52" s="76" t="s">
        <v>251</v>
      </c>
      <c r="H52" s="48" t="s">
        <v>334</v>
      </c>
      <c r="I52" s="48"/>
      <c r="J52" s="84"/>
      <c r="K52" s="85"/>
      <c r="L52" s="47"/>
      <c r="M52" s="3">
        <v>2.15</v>
      </c>
      <c r="N52" s="3">
        <f t="shared" si="71"/>
        <v>3.5500000000000003</v>
      </c>
      <c r="O52" s="22">
        <v>0.2</v>
      </c>
      <c r="P52" s="23">
        <v>1</v>
      </c>
      <c r="Q52" s="3"/>
      <c r="R52" s="3"/>
      <c r="S52" s="3"/>
      <c r="T52" s="3"/>
      <c r="U52" s="3"/>
      <c r="V52" s="23"/>
      <c r="W52" s="3"/>
      <c r="X52" s="3"/>
      <c r="Y52" s="17"/>
      <c r="Z52" s="17"/>
      <c r="AA52" s="3"/>
      <c r="AB52" s="3"/>
      <c r="AC52" s="3">
        <f t="shared" si="72"/>
        <v>15.265000000000001</v>
      </c>
      <c r="AD52" s="3"/>
      <c r="AE52" s="3"/>
      <c r="AF52" s="3"/>
      <c r="AG52" s="3"/>
      <c r="AH52" s="3"/>
      <c r="AI52" s="3"/>
      <c r="AJ52" s="3"/>
      <c r="AK52" s="12">
        <f t="shared" si="36"/>
        <v>7.6325000000000003</v>
      </c>
      <c r="AL52" s="12">
        <f t="shared" si="37"/>
        <v>7.6325000000000003</v>
      </c>
      <c r="AM52" s="12">
        <f t="shared" si="38"/>
        <v>1.5265000000000002</v>
      </c>
      <c r="AN52" s="12">
        <f t="shared" si="39"/>
        <v>1.5265000000000002</v>
      </c>
      <c r="AO52" s="12" t="str">
        <f t="shared" si="40"/>
        <v/>
      </c>
      <c r="AP52" s="12">
        <f t="shared" si="41"/>
        <v>2.15</v>
      </c>
      <c r="AQ52" s="12" t="str">
        <f t="shared" si="42"/>
        <v/>
      </c>
      <c r="AR52" s="12">
        <f t="shared" si="43"/>
        <v>15.265000000000001</v>
      </c>
      <c r="AS52" s="12" t="str">
        <f t="shared" si="8"/>
        <v/>
      </c>
      <c r="AT52" s="12" t="str">
        <f t="shared" si="9"/>
        <v/>
      </c>
      <c r="AU52" s="12" t="str">
        <f t="shared" si="10"/>
        <v/>
      </c>
      <c r="AV52" s="17"/>
      <c r="AX52" s="4"/>
    </row>
    <row r="53" spans="1:50" x14ac:dyDescent="0.25">
      <c r="A53" s="43" t="s">
        <v>275</v>
      </c>
      <c r="B53" s="52"/>
      <c r="C53" s="44"/>
      <c r="D53" s="43"/>
      <c r="E53" s="52"/>
      <c r="F53" s="46"/>
      <c r="G53" s="76"/>
      <c r="H53" s="48" t="s">
        <v>334</v>
      </c>
      <c r="I53" s="48"/>
      <c r="J53" s="84"/>
      <c r="K53" s="85"/>
      <c r="L53" s="47"/>
      <c r="M53" s="3">
        <f>6.8-M52</f>
        <v>4.6500000000000004</v>
      </c>
      <c r="N53" s="3">
        <f>3.55+0.2</f>
        <v>3.75</v>
      </c>
      <c r="O53" s="22">
        <v>0.2</v>
      </c>
      <c r="P53" s="23">
        <v>1</v>
      </c>
      <c r="Q53" s="3"/>
      <c r="R53" s="3"/>
      <c r="S53" s="3"/>
      <c r="T53" s="3"/>
      <c r="U53" s="3"/>
      <c r="V53" s="23"/>
      <c r="W53" s="3"/>
      <c r="X53" s="3"/>
      <c r="Y53" s="17"/>
      <c r="Z53" s="17"/>
      <c r="AA53" s="3"/>
      <c r="AB53" s="3"/>
      <c r="AC53" s="3">
        <f t="shared" si="72"/>
        <v>34.875</v>
      </c>
      <c r="AD53" s="3">
        <f>-0.2*3.75</f>
        <v>-0.75</v>
      </c>
      <c r="AE53" s="3"/>
      <c r="AF53" s="3"/>
      <c r="AG53" s="3"/>
      <c r="AH53" s="3"/>
      <c r="AI53" s="3"/>
      <c r="AJ53" s="3"/>
      <c r="AK53" s="12">
        <f t="shared" si="36"/>
        <v>17.4375</v>
      </c>
      <c r="AL53" s="12">
        <f t="shared" si="37"/>
        <v>17.4375</v>
      </c>
      <c r="AM53" s="12">
        <f t="shared" si="38"/>
        <v>3.4875000000000003</v>
      </c>
      <c r="AN53" s="12">
        <f t="shared" si="39"/>
        <v>3.4875000000000003</v>
      </c>
      <c r="AO53" s="12" t="str">
        <f t="shared" si="40"/>
        <v/>
      </c>
      <c r="AP53" s="12">
        <f t="shared" si="41"/>
        <v>4.6500000000000004</v>
      </c>
      <c r="AQ53" s="12" t="str">
        <f t="shared" si="42"/>
        <v/>
      </c>
      <c r="AR53" s="12">
        <f t="shared" si="43"/>
        <v>34.125</v>
      </c>
      <c r="AS53" s="12" t="str">
        <f t="shared" si="8"/>
        <v/>
      </c>
      <c r="AT53" s="12" t="str">
        <f t="shared" si="9"/>
        <v/>
      </c>
      <c r="AU53" s="12" t="str">
        <f t="shared" si="10"/>
        <v/>
      </c>
      <c r="AV53" s="17"/>
      <c r="AX53" s="4"/>
    </row>
    <row r="54" spans="1:50" x14ac:dyDescent="0.25">
      <c r="A54" s="43" t="s">
        <v>275</v>
      </c>
      <c r="B54" s="52"/>
      <c r="C54" s="44"/>
      <c r="D54" s="43"/>
      <c r="E54" s="52"/>
      <c r="F54" s="46"/>
      <c r="G54" s="76" t="s">
        <v>252</v>
      </c>
      <c r="H54" s="48" t="s">
        <v>334</v>
      </c>
      <c r="I54" s="48"/>
      <c r="J54" s="84"/>
      <c r="K54" s="85"/>
      <c r="L54" s="47"/>
      <c r="M54" s="3">
        <v>1.79</v>
      </c>
      <c r="N54" s="3">
        <f>3.55+0.2</f>
        <v>3.75</v>
      </c>
      <c r="O54" s="22">
        <v>0.2</v>
      </c>
      <c r="P54" s="23">
        <v>1</v>
      </c>
      <c r="Q54" s="3"/>
      <c r="R54" s="3"/>
      <c r="S54" s="3"/>
      <c r="T54" s="3"/>
      <c r="U54" s="3"/>
      <c r="V54" s="23"/>
      <c r="W54" s="3"/>
      <c r="X54" s="3"/>
      <c r="Y54" s="17"/>
      <c r="Z54" s="17"/>
      <c r="AA54" s="3"/>
      <c r="AB54" s="3"/>
      <c r="AC54" s="3">
        <f t="shared" si="72"/>
        <v>13.425000000000001</v>
      </c>
      <c r="AD54" s="3"/>
      <c r="AE54" s="3"/>
      <c r="AF54" s="3"/>
      <c r="AG54" s="3"/>
      <c r="AH54" s="3"/>
      <c r="AI54" s="3"/>
      <c r="AJ54" s="3"/>
      <c r="AK54" s="12">
        <f t="shared" si="28"/>
        <v>6.7125000000000004</v>
      </c>
      <c r="AL54" s="12">
        <f t="shared" si="29"/>
        <v>6.7125000000000004</v>
      </c>
      <c r="AM54" s="12">
        <f t="shared" si="30"/>
        <v>1.3425000000000002</v>
      </c>
      <c r="AN54" s="12">
        <f t="shared" si="31"/>
        <v>1.3425000000000002</v>
      </c>
      <c r="AO54" s="12" t="str">
        <f t="shared" si="32"/>
        <v/>
      </c>
      <c r="AP54" s="12">
        <f t="shared" si="33"/>
        <v>1.79</v>
      </c>
      <c r="AQ54" s="12" t="str">
        <f t="shared" si="34"/>
        <v/>
      </c>
      <c r="AR54" s="12">
        <f t="shared" si="35"/>
        <v>13.425000000000001</v>
      </c>
      <c r="AS54" s="12" t="str">
        <f t="shared" si="8"/>
        <v/>
      </c>
      <c r="AT54" s="12" t="str">
        <f t="shared" si="9"/>
        <v/>
      </c>
      <c r="AU54" s="12" t="str">
        <f t="shared" si="10"/>
        <v/>
      </c>
      <c r="AV54" s="17"/>
      <c r="AX54" s="4"/>
    </row>
    <row r="55" spans="1:50" x14ac:dyDescent="0.25">
      <c r="A55" s="43" t="s">
        <v>275</v>
      </c>
      <c r="B55" s="52"/>
      <c r="C55" s="44"/>
      <c r="D55" s="43"/>
      <c r="E55" s="52"/>
      <c r="F55" s="46"/>
      <c r="G55" s="76" t="s">
        <v>253</v>
      </c>
      <c r="H55" s="48" t="s">
        <v>334</v>
      </c>
      <c r="I55" s="48"/>
      <c r="J55" s="84"/>
      <c r="K55" s="85"/>
      <c r="L55" s="47"/>
      <c r="M55" s="3">
        <f>1.25+0.2+1.8</f>
        <v>3.25</v>
      </c>
      <c r="N55" s="3">
        <f>3.55+0.2</f>
        <v>3.75</v>
      </c>
      <c r="O55" s="22">
        <v>0.2</v>
      </c>
      <c r="P55" s="23">
        <v>1</v>
      </c>
      <c r="Q55" s="3"/>
      <c r="R55" s="3"/>
      <c r="S55" s="3"/>
      <c r="T55" s="3"/>
      <c r="U55" s="3"/>
      <c r="V55" s="23"/>
      <c r="W55" s="3"/>
      <c r="X55" s="3"/>
      <c r="Y55" s="17"/>
      <c r="Z55" s="17"/>
      <c r="AA55" s="3"/>
      <c r="AB55" s="3"/>
      <c r="AC55" s="3">
        <f t="shared" si="72"/>
        <v>24.375</v>
      </c>
      <c r="AD55" s="3">
        <f>-0.2*3.75</f>
        <v>-0.75</v>
      </c>
      <c r="AE55" s="3"/>
      <c r="AF55" s="3"/>
      <c r="AG55" s="3"/>
      <c r="AH55" s="3"/>
      <c r="AI55" s="3"/>
      <c r="AJ55" s="3"/>
      <c r="AK55" s="12">
        <f t="shared" si="28"/>
        <v>12.1875</v>
      </c>
      <c r="AL55" s="12">
        <f t="shared" si="29"/>
        <v>12.1875</v>
      </c>
      <c r="AM55" s="12">
        <f t="shared" si="30"/>
        <v>2.4375</v>
      </c>
      <c r="AN55" s="12">
        <f t="shared" si="31"/>
        <v>2.4375</v>
      </c>
      <c r="AO55" s="12" t="str">
        <f t="shared" si="32"/>
        <v/>
      </c>
      <c r="AP55" s="12">
        <f t="shared" si="33"/>
        <v>3.25</v>
      </c>
      <c r="AQ55" s="12" t="str">
        <f t="shared" si="34"/>
        <v/>
      </c>
      <c r="AR55" s="12">
        <f t="shared" si="35"/>
        <v>23.625</v>
      </c>
      <c r="AS55" s="12" t="str">
        <f t="shared" si="8"/>
        <v/>
      </c>
      <c r="AT55" s="12" t="str">
        <f t="shared" si="9"/>
        <v/>
      </c>
      <c r="AU55" s="12" t="str">
        <f t="shared" si="10"/>
        <v/>
      </c>
      <c r="AV55" s="17"/>
      <c r="AX55" s="4"/>
    </row>
    <row r="56" spans="1:50" x14ac:dyDescent="0.25">
      <c r="A56" s="43" t="s">
        <v>275</v>
      </c>
      <c r="B56" s="52"/>
      <c r="C56" s="44"/>
      <c r="D56" s="43"/>
      <c r="E56" s="52"/>
      <c r="F56" s="46"/>
      <c r="G56" s="76" t="s">
        <v>254</v>
      </c>
      <c r="H56" s="48" t="s">
        <v>334</v>
      </c>
      <c r="I56" s="48"/>
      <c r="J56" s="84"/>
      <c r="K56" s="85"/>
      <c r="L56" s="47"/>
      <c r="M56" s="3">
        <v>2.4</v>
      </c>
      <c r="N56" s="3">
        <f>3.55+0.2</f>
        <v>3.75</v>
      </c>
      <c r="O56" s="22">
        <v>0.2</v>
      </c>
      <c r="P56" s="23">
        <v>1</v>
      </c>
      <c r="Q56" s="3"/>
      <c r="R56" s="3">
        <f>1.6*2.38</f>
        <v>3.8079999999999998</v>
      </c>
      <c r="S56" s="3"/>
      <c r="T56" s="3"/>
      <c r="U56" s="3"/>
      <c r="V56" s="23"/>
      <c r="W56" s="3"/>
      <c r="X56" s="3"/>
      <c r="Y56" s="17"/>
      <c r="Z56" s="17"/>
      <c r="AA56" s="3">
        <f>(1.6+2.38*2)*0.2</f>
        <v>1.272</v>
      </c>
      <c r="AB56" s="3"/>
      <c r="AC56" s="3">
        <f t="shared" si="72"/>
        <v>18</v>
      </c>
      <c r="AD56" s="3">
        <f>-R56*2</f>
        <v>-7.6159999999999997</v>
      </c>
      <c r="AE56" s="3"/>
      <c r="AF56" s="3"/>
      <c r="AG56" s="3"/>
      <c r="AH56" s="3"/>
      <c r="AI56" s="3"/>
      <c r="AJ56" s="3"/>
      <c r="AK56" s="12">
        <f t="shared" ref="AK56" si="107">IF(((M56*N56)-Q56-R56-S56+T56+U56)=0,"",((M56*N56)-Q56-R56-S56+T56+U56))</f>
        <v>5.1920000000000002</v>
      </c>
      <c r="AL56" s="12">
        <f t="shared" ref="AL56" si="108">IF(PRODUCT(P56,AK56)=0,"",P56*AK56)</f>
        <v>5.1920000000000002</v>
      </c>
      <c r="AM56" s="12">
        <f t="shared" ref="AM56" si="109">IF(PRODUCT(AK56,O56)=0,"",AK56*O56)</f>
        <v>1.0384</v>
      </c>
      <c r="AN56" s="12">
        <f t="shared" ref="AN56" si="110">IF(PRODUCT(AM56,P56)=0,"",AM56*P56)</f>
        <v>1.0384</v>
      </c>
      <c r="AO56" s="12" t="str">
        <f t="shared" ref="AO56" si="111">IF(N56*V56-W56+X56=0,"",N56*V56-W56+X56)</f>
        <v/>
      </c>
      <c r="AP56" s="12">
        <f t="shared" ref="AP56" si="112">IF(PRODUCT(M56,P56)=0,"",M56*P56)</f>
        <v>2.4</v>
      </c>
      <c r="AQ56" s="12">
        <f t="shared" ref="AQ56" si="113">IF(AA56+AB56=0,"",AA56+AB56)</f>
        <v>1.272</v>
      </c>
      <c r="AR56" s="12">
        <f t="shared" ref="AR56" si="114">IF(AC56+AD56=0,"",AC56+AD56)</f>
        <v>10.384</v>
      </c>
      <c r="AS56" s="12" t="str">
        <f t="shared" si="8"/>
        <v/>
      </c>
      <c r="AT56" s="12" t="str">
        <f t="shared" si="9"/>
        <v/>
      </c>
      <c r="AU56" s="12" t="str">
        <f t="shared" si="10"/>
        <v/>
      </c>
      <c r="AV56" s="17"/>
      <c r="AX56" s="4"/>
    </row>
    <row r="57" spans="1:50" x14ac:dyDescent="0.25">
      <c r="A57" s="43" t="s">
        <v>275</v>
      </c>
      <c r="B57" s="52"/>
      <c r="C57" s="44"/>
      <c r="D57" s="43"/>
      <c r="E57" s="52"/>
      <c r="F57" s="46"/>
      <c r="G57" s="76" t="s">
        <v>255</v>
      </c>
      <c r="H57" s="48" t="s">
        <v>334</v>
      </c>
      <c r="I57" s="48"/>
      <c r="J57" s="84"/>
      <c r="K57" s="85"/>
      <c r="L57" s="47"/>
      <c r="M57" s="3">
        <f>0.2+3.05</f>
        <v>3.25</v>
      </c>
      <c r="N57" s="3">
        <f t="shared" si="71"/>
        <v>3.5500000000000003</v>
      </c>
      <c r="O57" s="22">
        <v>0.2</v>
      </c>
      <c r="P57" s="23">
        <v>1</v>
      </c>
      <c r="Q57" s="3"/>
      <c r="R57" s="3"/>
      <c r="S57" s="3"/>
      <c r="T57" s="3"/>
      <c r="U57" s="3"/>
      <c r="V57" s="23"/>
      <c r="W57" s="3"/>
      <c r="X57" s="3"/>
      <c r="Y57" s="17"/>
      <c r="Z57" s="17"/>
      <c r="AA57" s="3"/>
      <c r="AB57" s="3"/>
      <c r="AC57" s="3">
        <f t="shared" si="72"/>
        <v>23.075000000000003</v>
      </c>
      <c r="AD57" s="3"/>
      <c r="AE57" s="3"/>
      <c r="AF57" s="3"/>
      <c r="AG57" s="3"/>
      <c r="AH57" s="3"/>
      <c r="AI57" s="3"/>
      <c r="AJ57" s="3"/>
      <c r="AK57" s="12">
        <f t="shared" ref="AK57:AK209" si="115">IF(((M57*N57)-Q57-R57-S57+T57+U57)=0,"",((M57*N57)-Q57-R57-S57+T57+U57))</f>
        <v>11.537500000000001</v>
      </c>
      <c r="AL57" s="12">
        <f t="shared" ref="AL57:AL209" si="116">IF(PRODUCT(P57,AK57)=0,"",P57*AK57)</f>
        <v>11.537500000000001</v>
      </c>
      <c r="AM57" s="12">
        <f t="shared" ref="AM57:AM209" si="117">IF(PRODUCT(AK57,O57)=0,"",AK57*O57)</f>
        <v>2.3075000000000006</v>
      </c>
      <c r="AN57" s="12">
        <f t="shared" ref="AN57:AN209" si="118">IF(PRODUCT(AM57,P57)=0,"",AM57*P57)</f>
        <v>2.3075000000000006</v>
      </c>
      <c r="AO57" s="12" t="str">
        <f t="shared" ref="AO57:AO209" si="119">IF(N57*V57-W57+X57=0,"",N57*V57-W57+X57)</f>
        <v/>
      </c>
      <c r="AP57" s="12">
        <f t="shared" ref="AP57:AP209" si="120">IF(PRODUCT(M57,P57)=0,"",M57*P57)</f>
        <v>3.25</v>
      </c>
      <c r="AQ57" s="12" t="str">
        <f t="shared" ref="AQ57:AQ209" si="121">IF(AA57+AB57=0,"",AA57+AB57)</f>
        <v/>
      </c>
      <c r="AR57" s="12">
        <f t="shared" ref="AR57:AR209" si="122">IF(AC57+AD57=0,"",AC57+AD57)</f>
        <v>23.075000000000003</v>
      </c>
      <c r="AS57" s="12" t="str">
        <f t="shared" si="8"/>
        <v/>
      </c>
      <c r="AT57" s="12" t="str">
        <f t="shared" si="9"/>
        <v/>
      </c>
      <c r="AU57" s="12" t="str">
        <f t="shared" si="10"/>
        <v/>
      </c>
      <c r="AV57" s="17"/>
      <c r="AX57" s="4"/>
    </row>
    <row r="58" spans="1:50" x14ac:dyDescent="0.25">
      <c r="A58" s="43" t="s">
        <v>275</v>
      </c>
      <c r="B58" s="52"/>
      <c r="C58" s="44"/>
      <c r="D58" s="43"/>
      <c r="E58" s="52"/>
      <c r="F58" s="46"/>
      <c r="G58" s="76" t="s">
        <v>256</v>
      </c>
      <c r="H58" s="48" t="s">
        <v>334</v>
      </c>
      <c r="I58" s="48"/>
      <c r="J58" s="84"/>
      <c r="K58" s="85"/>
      <c r="L58" s="47"/>
      <c r="M58" s="3">
        <f>0.2+1.79+0.2+2.4+0.2</f>
        <v>4.79</v>
      </c>
      <c r="N58" s="3">
        <f>3.6+0.2</f>
        <v>3.8000000000000003</v>
      </c>
      <c r="O58" s="22">
        <v>0.2</v>
      </c>
      <c r="P58" s="23">
        <v>1</v>
      </c>
      <c r="Q58" s="3"/>
      <c r="R58" s="3">
        <f>1.7*2.38+1.3*2.35</f>
        <v>7.1009999999999991</v>
      </c>
      <c r="S58" s="3"/>
      <c r="T58" s="3"/>
      <c r="U58" s="3"/>
      <c r="V58" s="23"/>
      <c r="W58" s="3"/>
      <c r="X58" s="3"/>
      <c r="Y58" s="17"/>
      <c r="Z58" s="17"/>
      <c r="AA58" s="3">
        <f>(1.7+1.3+2.38*4)*0.2</f>
        <v>2.504</v>
      </c>
      <c r="AB58" s="3"/>
      <c r="AC58" s="3">
        <f t="shared" si="72"/>
        <v>36.404000000000003</v>
      </c>
      <c r="AD58" s="3">
        <f>-R58*2</f>
        <v>-14.201999999999998</v>
      </c>
      <c r="AE58" s="3"/>
      <c r="AF58" s="3"/>
      <c r="AG58" s="3"/>
      <c r="AH58" s="3"/>
      <c r="AI58" s="3"/>
      <c r="AJ58" s="3"/>
      <c r="AK58" s="12">
        <f t="shared" si="115"/>
        <v>11.101000000000003</v>
      </c>
      <c r="AL58" s="12">
        <f t="shared" si="116"/>
        <v>11.101000000000003</v>
      </c>
      <c r="AM58" s="12">
        <f t="shared" si="117"/>
        <v>2.2202000000000006</v>
      </c>
      <c r="AN58" s="12">
        <f t="shared" si="118"/>
        <v>2.2202000000000006</v>
      </c>
      <c r="AO58" s="12" t="str">
        <f t="shared" si="119"/>
        <v/>
      </c>
      <c r="AP58" s="12">
        <f t="shared" si="120"/>
        <v>4.79</v>
      </c>
      <c r="AQ58" s="12">
        <f t="shared" si="121"/>
        <v>2.504</v>
      </c>
      <c r="AR58" s="12">
        <f t="shared" si="122"/>
        <v>22.202000000000005</v>
      </c>
      <c r="AS58" s="12" t="str">
        <f t="shared" si="8"/>
        <v/>
      </c>
      <c r="AT58" s="12" t="str">
        <f t="shared" si="9"/>
        <v/>
      </c>
      <c r="AU58" s="12" t="str">
        <f t="shared" si="10"/>
        <v/>
      </c>
      <c r="AV58" s="17"/>
      <c r="AX58" s="4"/>
    </row>
    <row r="59" spans="1:50" x14ac:dyDescent="0.25">
      <c r="A59" s="43" t="s">
        <v>275</v>
      </c>
      <c r="B59" s="52"/>
      <c r="C59" s="44"/>
      <c r="D59" s="43"/>
      <c r="E59" s="52"/>
      <c r="F59" s="46"/>
      <c r="G59" s="76" t="s">
        <v>257</v>
      </c>
      <c r="H59" s="48" t="s">
        <v>334</v>
      </c>
      <c r="I59" s="48"/>
      <c r="J59" s="84"/>
      <c r="K59" s="85"/>
      <c r="L59" s="47"/>
      <c r="M59" s="3">
        <v>0.6</v>
      </c>
      <c r="N59" s="3">
        <f>3.1+0.2</f>
        <v>3.3000000000000003</v>
      </c>
      <c r="O59" s="22">
        <v>0.2</v>
      </c>
      <c r="P59" s="23">
        <v>1</v>
      </c>
      <c r="Q59" s="3"/>
      <c r="R59" s="3"/>
      <c r="S59" s="3"/>
      <c r="T59" s="3"/>
      <c r="U59" s="3"/>
      <c r="V59" s="23"/>
      <c r="W59" s="3"/>
      <c r="X59" s="3"/>
      <c r="Y59" s="17"/>
      <c r="Z59" s="17"/>
      <c r="AA59" s="3">
        <f>0.2*3.3*2</f>
        <v>1.32</v>
      </c>
      <c r="AB59" s="3"/>
      <c r="AC59" s="3">
        <f t="shared" si="72"/>
        <v>3.96</v>
      </c>
      <c r="AD59" s="3"/>
      <c r="AE59" s="3"/>
      <c r="AF59" s="3"/>
      <c r="AG59" s="3"/>
      <c r="AH59" s="3"/>
      <c r="AI59" s="3"/>
      <c r="AJ59" s="3"/>
      <c r="AK59" s="12">
        <f t="shared" ref="AK59" si="123">IF(((M59*N59)-Q59-R59-S59+T59+U59)=0,"",((M59*N59)-Q59-R59-S59+T59+U59))</f>
        <v>1.98</v>
      </c>
      <c r="AL59" s="12">
        <f t="shared" ref="AL59" si="124">IF(PRODUCT(P59,AK59)=0,"",P59*AK59)</f>
        <v>1.98</v>
      </c>
      <c r="AM59" s="12">
        <f t="shared" ref="AM59" si="125">IF(PRODUCT(AK59,O59)=0,"",AK59*O59)</f>
        <v>0.39600000000000002</v>
      </c>
      <c r="AN59" s="12">
        <f t="shared" ref="AN59" si="126">IF(PRODUCT(AM59,P59)=0,"",AM59*P59)</f>
        <v>0.39600000000000002</v>
      </c>
      <c r="AO59" s="12" t="str">
        <f t="shared" ref="AO59" si="127">IF(N59*V59-W59+X59=0,"",N59*V59-W59+X59)</f>
        <v/>
      </c>
      <c r="AP59" s="12">
        <f t="shared" ref="AP59" si="128">IF(PRODUCT(M59,P59)=0,"",M59*P59)</f>
        <v>0.6</v>
      </c>
      <c r="AQ59" s="12">
        <f t="shared" ref="AQ59" si="129">IF(AA59+AB59=0,"",AA59+AB59)</f>
        <v>1.32</v>
      </c>
      <c r="AR59" s="12">
        <f t="shared" ref="AR59" si="130">IF(AC59+AD59=0,"",AC59+AD59)</f>
        <v>3.96</v>
      </c>
      <c r="AS59" s="12" t="str">
        <f t="shared" si="8"/>
        <v/>
      </c>
      <c r="AT59" s="12" t="str">
        <f t="shared" si="9"/>
        <v/>
      </c>
      <c r="AU59" s="12" t="str">
        <f t="shared" si="10"/>
        <v/>
      </c>
      <c r="AV59" s="17"/>
      <c r="AX59" s="4"/>
    </row>
    <row r="60" spans="1:50" x14ac:dyDescent="0.25">
      <c r="A60" s="43" t="s">
        <v>275</v>
      </c>
      <c r="B60" s="52"/>
      <c r="C60" s="44"/>
      <c r="D60" s="43"/>
      <c r="E60" s="52"/>
      <c r="F60" s="46"/>
      <c r="G60" s="76" t="s">
        <v>258</v>
      </c>
      <c r="H60" s="48" t="s">
        <v>334</v>
      </c>
      <c r="I60" s="48"/>
      <c r="J60" s="84"/>
      <c r="K60" s="85"/>
      <c r="L60" s="47"/>
      <c r="M60" s="3">
        <v>2.2000000000000002</v>
      </c>
      <c r="N60" s="3">
        <f>3.18+0.2</f>
        <v>3.3800000000000003</v>
      </c>
      <c r="O60" s="22">
        <v>0.2</v>
      </c>
      <c r="P60" s="23">
        <v>1</v>
      </c>
      <c r="Q60" s="3"/>
      <c r="R60" s="3"/>
      <c r="S60" s="3"/>
      <c r="T60" s="3"/>
      <c r="U60" s="3"/>
      <c r="V60" s="23"/>
      <c r="W60" s="3"/>
      <c r="X60" s="3"/>
      <c r="Y60" s="17"/>
      <c r="Z60" s="17"/>
      <c r="AA60" s="3">
        <f>0.2*3.38</f>
        <v>0.67600000000000005</v>
      </c>
      <c r="AB60" s="3"/>
      <c r="AC60" s="3">
        <f t="shared" si="72"/>
        <v>14.872000000000003</v>
      </c>
      <c r="AD60" s="3"/>
      <c r="AE60" s="3"/>
      <c r="AF60" s="3"/>
      <c r="AG60" s="3"/>
      <c r="AH60" s="3"/>
      <c r="AI60" s="3"/>
      <c r="AJ60" s="3"/>
      <c r="AK60" s="12">
        <f t="shared" si="115"/>
        <v>7.4360000000000017</v>
      </c>
      <c r="AL60" s="12">
        <f t="shared" si="116"/>
        <v>7.4360000000000017</v>
      </c>
      <c r="AM60" s="12">
        <f t="shared" si="117"/>
        <v>1.4872000000000005</v>
      </c>
      <c r="AN60" s="12">
        <f t="shared" si="118"/>
        <v>1.4872000000000005</v>
      </c>
      <c r="AO60" s="12" t="str">
        <f t="shared" si="119"/>
        <v/>
      </c>
      <c r="AP60" s="12">
        <f t="shared" si="120"/>
        <v>2.2000000000000002</v>
      </c>
      <c r="AQ60" s="12">
        <f t="shared" si="121"/>
        <v>0.67600000000000005</v>
      </c>
      <c r="AR60" s="12">
        <f t="shared" si="122"/>
        <v>14.872000000000003</v>
      </c>
      <c r="AS60" s="12" t="str">
        <f t="shared" si="8"/>
        <v/>
      </c>
      <c r="AT60" s="12" t="str">
        <f t="shared" si="9"/>
        <v/>
      </c>
      <c r="AU60" s="12" t="str">
        <f t="shared" si="10"/>
        <v/>
      </c>
      <c r="AV60" s="17"/>
      <c r="AX60" s="4"/>
    </row>
    <row r="61" spans="1:50" x14ac:dyDescent="0.25">
      <c r="A61" s="43" t="s">
        <v>275</v>
      </c>
      <c r="B61" s="52"/>
      <c r="C61" s="44"/>
      <c r="D61" s="43"/>
      <c r="E61" s="52"/>
      <c r="F61" s="46"/>
      <c r="G61" s="76"/>
      <c r="H61" s="48" t="s">
        <v>334</v>
      </c>
      <c r="I61" s="48"/>
      <c r="J61" s="84"/>
      <c r="K61" s="85"/>
      <c r="L61" s="47"/>
      <c r="M61" s="3">
        <f>3.075+1.05+1.6+1.55+0.2+1.635+1.79-M60</f>
        <v>8.6999999999999993</v>
      </c>
      <c r="N61" s="3">
        <f>3.1+0.2</f>
        <v>3.3000000000000003</v>
      </c>
      <c r="O61" s="22">
        <v>0.2</v>
      </c>
      <c r="P61" s="23">
        <v>1</v>
      </c>
      <c r="Q61" s="3"/>
      <c r="R61" s="3">
        <f>1.05*2.45+1.55*2.45+1.635*2.45</f>
        <v>10.37575</v>
      </c>
      <c r="S61" s="3"/>
      <c r="T61" s="3"/>
      <c r="U61" s="3"/>
      <c r="V61" s="23"/>
      <c r="W61" s="3"/>
      <c r="X61" s="3"/>
      <c r="Y61" s="17"/>
      <c r="Z61" s="17"/>
      <c r="AA61" s="3">
        <f>(1.05+1.55+1.635+2.45*2*3)*0.2</f>
        <v>3.7870000000000008</v>
      </c>
      <c r="AB61" s="3"/>
      <c r="AC61" s="3">
        <f t="shared" si="72"/>
        <v>57.42</v>
      </c>
      <c r="AD61" s="3">
        <f>-R61*2</f>
        <v>-20.7515</v>
      </c>
      <c r="AE61" s="3"/>
      <c r="AF61" s="3"/>
      <c r="AG61" s="3"/>
      <c r="AH61" s="3"/>
      <c r="AI61" s="3"/>
      <c r="AJ61" s="3"/>
      <c r="AK61" s="12">
        <f t="shared" ref="AK61" si="131">IF(((M61*N61)-Q61-R61-S61+T61+U61)=0,"",((M61*N61)-Q61-R61-S61+T61+U61))</f>
        <v>18.334250000000001</v>
      </c>
      <c r="AL61" s="12">
        <f t="shared" ref="AL61" si="132">IF(PRODUCT(P61,AK61)=0,"",P61*AK61)</f>
        <v>18.334250000000001</v>
      </c>
      <c r="AM61" s="12">
        <f t="shared" ref="AM61" si="133">IF(PRODUCT(AK61,O61)=0,"",AK61*O61)</f>
        <v>3.6668500000000002</v>
      </c>
      <c r="AN61" s="12">
        <f t="shared" ref="AN61" si="134">IF(PRODUCT(AM61,P61)=0,"",AM61*P61)</f>
        <v>3.6668500000000002</v>
      </c>
      <c r="AO61" s="12" t="str">
        <f t="shared" ref="AO61" si="135">IF(N61*V61-W61+X61=0,"",N61*V61-W61+X61)</f>
        <v/>
      </c>
      <c r="AP61" s="12">
        <f t="shared" ref="AP61" si="136">IF(PRODUCT(M61,P61)=0,"",M61*P61)</f>
        <v>8.6999999999999993</v>
      </c>
      <c r="AQ61" s="12">
        <f t="shared" ref="AQ61" si="137">IF(AA61+AB61=0,"",AA61+AB61)</f>
        <v>3.7870000000000008</v>
      </c>
      <c r="AR61" s="12">
        <f t="shared" ref="AR61" si="138">IF(AC61+AD61=0,"",AC61+AD61)</f>
        <v>36.668500000000002</v>
      </c>
      <c r="AS61" s="12" t="str">
        <f t="shared" si="8"/>
        <v/>
      </c>
      <c r="AT61" s="12" t="str">
        <f t="shared" si="9"/>
        <v/>
      </c>
      <c r="AU61" s="12" t="str">
        <f t="shared" si="10"/>
        <v/>
      </c>
      <c r="AV61" s="17"/>
      <c r="AX61" s="4"/>
    </row>
    <row r="62" spans="1:50" x14ac:dyDescent="0.25">
      <c r="A62" s="43" t="s">
        <v>275</v>
      </c>
      <c r="B62" s="52"/>
      <c r="C62" s="44"/>
      <c r="D62" s="43"/>
      <c r="E62" s="52"/>
      <c r="F62" s="46"/>
      <c r="G62" s="76" t="s">
        <v>259</v>
      </c>
      <c r="H62" s="48" t="s">
        <v>334</v>
      </c>
      <c r="I62" s="48"/>
      <c r="J62" s="84"/>
      <c r="K62" s="85"/>
      <c r="L62" s="47"/>
      <c r="M62" s="3">
        <f>2-0.2</f>
        <v>1.8</v>
      </c>
      <c r="N62" s="3">
        <f t="shared" si="71"/>
        <v>3.5500000000000003</v>
      </c>
      <c r="O62" s="22">
        <v>0.2</v>
      </c>
      <c r="P62" s="23">
        <v>1</v>
      </c>
      <c r="Q62" s="3"/>
      <c r="R62" s="3"/>
      <c r="S62" s="3"/>
      <c r="T62" s="3"/>
      <c r="U62" s="3"/>
      <c r="V62" s="23"/>
      <c r="W62" s="3"/>
      <c r="X62" s="3"/>
      <c r="Y62" s="17"/>
      <c r="Z62" s="17"/>
      <c r="AA62" s="3">
        <f>0.2*3.55</f>
        <v>0.71</v>
      </c>
      <c r="AB62" s="3"/>
      <c r="AC62" s="3">
        <f t="shared" si="72"/>
        <v>12.780000000000001</v>
      </c>
      <c r="AD62" s="3"/>
      <c r="AE62" s="3"/>
      <c r="AF62" s="3"/>
      <c r="AG62" s="3"/>
      <c r="AH62" s="3"/>
      <c r="AI62" s="3"/>
      <c r="AJ62" s="3"/>
      <c r="AK62" s="12">
        <f t="shared" si="115"/>
        <v>6.3900000000000006</v>
      </c>
      <c r="AL62" s="12">
        <f t="shared" si="116"/>
        <v>6.3900000000000006</v>
      </c>
      <c r="AM62" s="12">
        <f t="shared" si="117"/>
        <v>1.2780000000000002</v>
      </c>
      <c r="AN62" s="12">
        <f t="shared" si="118"/>
        <v>1.2780000000000002</v>
      </c>
      <c r="AO62" s="12" t="str">
        <f t="shared" si="119"/>
        <v/>
      </c>
      <c r="AP62" s="12">
        <f t="shared" si="120"/>
        <v>1.8</v>
      </c>
      <c r="AQ62" s="12">
        <f t="shared" si="121"/>
        <v>0.71</v>
      </c>
      <c r="AR62" s="12">
        <f t="shared" si="122"/>
        <v>12.780000000000001</v>
      </c>
      <c r="AS62" s="12" t="str">
        <f t="shared" si="8"/>
        <v/>
      </c>
      <c r="AT62" s="12" t="str">
        <f t="shared" si="9"/>
        <v/>
      </c>
      <c r="AU62" s="12" t="str">
        <f t="shared" si="10"/>
        <v/>
      </c>
      <c r="AV62" s="17"/>
      <c r="AX62" s="4"/>
    </row>
    <row r="63" spans="1:50" x14ac:dyDescent="0.25">
      <c r="A63" s="43" t="s">
        <v>275</v>
      </c>
      <c r="B63" s="52"/>
      <c r="C63" s="44"/>
      <c r="D63" s="43"/>
      <c r="E63" s="52"/>
      <c r="F63" s="46"/>
      <c r="G63" s="76" t="s">
        <v>260</v>
      </c>
      <c r="H63" s="48" t="s">
        <v>334</v>
      </c>
      <c r="I63" s="48"/>
      <c r="J63" s="84"/>
      <c r="K63" s="85"/>
      <c r="L63" s="47"/>
      <c r="M63" s="3">
        <v>3.1</v>
      </c>
      <c r="N63" s="3">
        <f>3.18+0.2</f>
        <v>3.3800000000000003</v>
      </c>
      <c r="O63" s="22">
        <v>0.2</v>
      </c>
      <c r="P63" s="23">
        <v>1</v>
      </c>
      <c r="Q63" s="3"/>
      <c r="R63" s="3"/>
      <c r="S63" s="3"/>
      <c r="T63" s="3"/>
      <c r="U63" s="3"/>
      <c r="V63" s="23"/>
      <c r="W63" s="3"/>
      <c r="X63" s="3"/>
      <c r="Y63" s="17"/>
      <c r="Z63" s="17"/>
      <c r="AA63" s="3">
        <f>0.2*3.35+0.2*3.55</f>
        <v>1.38</v>
      </c>
      <c r="AB63" s="3"/>
      <c r="AC63" s="3">
        <f t="shared" si="72"/>
        <v>20.956000000000003</v>
      </c>
      <c r="AD63" s="3"/>
      <c r="AE63" s="3"/>
      <c r="AF63" s="3"/>
      <c r="AG63" s="3"/>
      <c r="AH63" s="3"/>
      <c r="AI63" s="3"/>
      <c r="AJ63" s="3"/>
      <c r="AK63" s="12">
        <f t="shared" si="115"/>
        <v>10.478000000000002</v>
      </c>
      <c r="AL63" s="12">
        <f t="shared" si="116"/>
        <v>10.478000000000002</v>
      </c>
      <c r="AM63" s="12">
        <f t="shared" si="117"/>
        <v>2.0956000000000006</v>
      </c>
      <c r="AN63" s="12">
        <f t="shared" si="118"/>
        <v>2.0956000000000006</v>
      </c>
      <c r="AO63" s="12" t="str">
        <f t="shared" si="119"/>
        <v/>
      </c>
      <c r="AP63" s="12">
        <f t="shared" si="120"/>
        <v>3.1</v>
      </c>
      <c r="AQ63" s="12">
        <f t="shared" si="121"/>
        <v>1.38</v>
      </c>
      <c r="AR63" s="12">
        <f t="shared" si="122"/>
        <v>20.956000000000003</v>
      </c>
      <c r="AS63" s="12" t="str">
        <f t="shared" si="8"/>
        <v/>
      </c>
      <c r="AT63" s="12" t="str">
        <f t="shared" si="9"/>
        <v/>
      </c>
      <c r="AU63" s="12" t="str">
        <f t="shared" si="10"/>
        <v/>
      </c>
      <c r="AV63" s="17"/>
      <c r="AX63" s="4"/>
    </row>
    <row r="64" spans="1:50" x14ac:dyDescent="0.25">
      <c r="A64" s="43" t="s">
        <v>275</v>
      </c>
      <c r="B64" s="52"/>
      <c r="C64" s="44"/>
      <c r="D64" s="43"/>
      <c r="E64" s="52"/>
      <c r="F64" s="46"/>
      <c r="G64" s="76" t="s">
        <v>477</v>
      </c>
      <c r="H64" s="48" t="s">
        <v>334</v>
      </c>
      <c r="I64" s="48"/>
      <c r="J64" s="84"/>
      <c r="K64" s="85"/>
      <c r="L64" s="47" t="s">
        <v>442</v>
      </c>
      <c r="M64" s="3">
        <f>6.85+0.2+2.55</f>
        <v>9.6</v>
      </c>
      <c r="N64" s="3">
        <v>0.12</v>
      </c>
      <c r="O64" s="22">
        <v>0.2</v>
      </c>
      <c r="P64" s="23">
        <v>1</v>
      </c>
      <c r="Q64" s="3"/>
      <c r="R64" s="3"/>
      <c r="S64" s="3"/>
      <c r="T64" s="3"/>
      <c r="U64" s="3"/>
      <c r="V64" s="23"/>
      <c r="W64" s="3"/>
      <c r="X64" s="3"/>
      <c r="Y64" s="17"/>
      <c r="Z64" s="17"/>
      <c r="AA64" s="3"/>
      <c r="AB64" s="3"/>
      <c r="AC64" s="3">
        <f t="shared" ref="AC64" si="139">M64*N64*2</f>
        <v>2.3039999999999998</v>
      </c>
      <c r="AD64" s="3"/>
      <c r="AE64" s="3"/>
      <c r="AF64" s="3"/>
      <c r="AG64" s="3"/>
      <c r="AH64" s="3"/>
      <c r="AI64" s="3"/>
      <c r="AJ64" s="3"/>
      <c r="AK64" s="12">
        <f t="shared" ref="AK64" si="140">IF(((M64*N64)-Q64-R64-S64+T64+U64)=0,"",((M64*N64)-Q64-R64-S64+T64+U64))</f>
        <v>1.1519999999999999</v>
      </c>
      <c r="AL64" s="12">
        <f t="shared" ref="AL64" si="141">IF(PRODUCT(P64,AK64)=0,"",P64*AK64)</f>
        <v>1.1519999999999999</v>
      </c>
      <c r="AM64" s="12">
        <f t="shared" ref="AM64" si="142">IF(PRODUCT(AK64,O64)=0,"",AK64*O64)</f>
        <v>0.23039999999999999</v>
      </c>
      <c r="AN64" s="12">
        <f t="shared" ref="AN64" si="143">IF(PRODUCT(AM64,P64)=0,"",AM64*P64)</f>
        <v>0.23039999999999999</v>
      </c>
      <c r="AO64" s="12" t="str">
        <f t="shared" ref="AO64" si="144">IF(N64*V64-W64+X64=0,"",N64*V64-W64+X64)</f>
        <v/>
      </c>
      <c r="AP64" s="12">
        <f t="shared" ref="AP64" si="145">IF(PRODUCT(M64,P64)=0,"",M64*P64)</f>
        <v>9.6</v>
      </c>
      <c r="AQ64" s="12" t="str">
        <f t="shared" ref="AQ64" si="146">IF(AA64+AB64=0,"",AA64+AB64)</f>
        <v/>
      </c>
      <c r="AR64" s="12">
        <f t="shared" ref="AR64" si="147">IF(AC64+AD64=0,"",AC64+AD64)</f>
        <v>2.3039999999999998</v>
      </c>
      <c r="AS64" s="12" t="str">
        <f t="shared" si="8"/>
        <v/>
      </c>
      <c r="AT64" s="12" t="str">
        <f t="shared" si="9"/>
        <v/>
      </c>
      <c r="AU64" s="12" t="str">
        <f t="shared" si="10"/>
        <v/>
      </c>
      <c r="AV64" s="17"/>
      <c r="AX64" s="4"/>
    </row>
    <row r="65" spans="1:50" x14ac:dyDescent="0.25">
      <c r="A65" s="43" t="s">
        <v>275</v>
      </c>
      <c r="B65" s="52"/>
      <c r="C65" s="44"/>
      <c r="D65" s="43"/>
      <c r="E65" s="52"/>
      <c r="F65" s="46"/>
      <c r="G65" s="76" t="s">
        <v>261</v>
      </c>
      <c r="H65" s="48" t="s">
        <v>334</v>
      </c>
      <c r="I65" s="48"/>
      <c r="J65" s="84"/>
      <c r="K65" s="85"/>
      <c r="L65" s="47"/>
      <c r="M65" s="3">
        <v>3.11</v>
      </c>
      <c r="N65" s="3">
        <f>3.18+0.2</f>
        <v>3.3800000000000003</v>
      </c>
      <c r="O65" s="22">
        <v>0.2</v>
      </c>
      <c r="P65" s="23">
        <v>1</v>
      </c>
      <c r="Q65" s="3"/>
      <c r="R65" s="3"/>
      <c r="S65" s="3"/>
      <c r="T65" s="3"/>
      <c r="U65" s="3"/>
      <c r="V65" s="23"/>
      <c r="W65" s="3"/>
      <c r="X65" s="3"/>
      <c r="Y65" s="17"/>
      <c r="Z65" s="17"/>
      <c r="AA65" s="3">
        <f>0.2*3.35+0.2*3.55</f>
        <v>1.38</v>
      </c>
      <c r="AB65" s="3"/>
      <c r="AC65" s="3">
        <f t="shared" si="72"/>
        <v>21.023600000000002</v>
      </c>
      <c r="AD65" s="3"/>
      <c r="AE65" s="3"/>
      <c r="AF65" s="3"/>
      <c r="AG65" s="3"/>
      <c r="AH65" s="3"/>
      <c r="AI65" s="3"/>
      <c r="AJ65" s="3"/>
      <c r="AK65" s="12">
        <f t="shared" si="115"/>
        <v>10.511800000000001</v>
      </c>
      <c r="AL65" s="12">
        <f t="shared" si="116"/>
        <v>10.511800000000001</v>
      </c>
      <c r="AM65" s="12">
        <f t="shared" si="117"/>
        <v>2.1023600000000005</v>
      </c>
      <c r="AN65" s="12">
        <f t="shared" si="118"/>
        <v>2.1023600000000005</v>
      </c>
      <c r="AO65" s="12" t="str">
        <f t="shared" si="119"/>
        <v/>
      </c>
      <c r="AP65" s="12">
        <f t="shared" si="120"/>
        <v>3.11</v>
      </c>
      <c r="AQ65" s="12">
        <f t="shared" si="121"/>
        <v>1.38</v>
      </c>
      <c r="AR65" s="12">
        <f t="shared" si="122"/>
        <v>21.023600000000002</v>
      </c>
      <c r="AS65" s="12" t="str">
        <f t="shared" si="8"/>
        <v/>
      </c>
      <c r="AT65" s="12" t="str">
        <f t="shared" si="9"/>
        <v/>
      </c>
      <c r="AU65" s="12" t="str">
        <f t="shared" si="10"/>
        <v/>
      </c>
      <c r="AV65" s="17"/>
      <c r="AX65" s="4"/>
    </row>
    <row r="66" spans="1:50" x14ac:dyDescent="0.25">
      <c r="A66" s="43" t="s">
        <v>275</v>
      </c>
      <c r="B66" s="52"/>
      <c r="C66" s="44"/>
      <c r="D66" s="43"/>
      <c r="E66" s="52"/>
      <c r="F66" s="46"/>
      <c r="G66" s="76" t="s">
        <v>262</v>
      </c>
      <c r="H66" s="48" t="s">
        <v>334</v>
      </c>
      <c r="I66" s="48"/>
      <c r="J66" s="84"/>
      <c r="K66" s="85"/>
      <c r="L66" s="47"/>
      <c r="M66" s="3">
        <v>0.95</v>
      </c>
      <c r="N66" s="3">
        <f t="shared" si="71"/>
        <v>3.5500000000000003</v>
      </c>
      <c r="O66" s="22">
        <v>0.2</v>
      </c>
      <c r="P66" s="23">
        <v>1</v>
      </c>
      <c r="Q66" s="3"/>
      <c r="R66" s="3"/>
      <c r="S66" s="3"/>
      <c r="T66" s="3"/>
      <c r="U66" s="3"/>
      <c r="V66" s="23"/>
      <c r="W66" s="3"/>
      <c r="X66" s="3"/>
      <c r="Y66" s="17"/>
      <c r="Z66" s="17"/>
      <c r="AA66" s="3">
        <f>0.2*2*3.55</f>
        <v>1.42</v>
      </c>
      <c r="AB66" s="3"/>
      <c r="AC66" s="3">
        <f t="shared" si="72"/>
        <v>6.7450000000000001</v>
      </c>
      <c r="AD66" s="3"/>
      <c r="AE66" s="3"/>
      <c r="AF66" s="3"/>
      <c r="AG66" s="3"/>
      <c r="AH66" s="3"/>
      <c r="AI66" s="3"/>
      <c r="AJ66" s="3"/>
      <c r="AK66" s="12">
        <f t="shared" si="115"/>
        <v>3.3725000000000001</v>
      </c>
      <c r="AL66" s="12">
        <f t="shared" si="116"/>
        <v>3.3725000000000001</v>
      </c>
      <c r="AM66" s="12">
        <f t="shared" si="117"/>
        <v>0.6745000000000001</v>
      </c>
      <c r="AN66" s="12">
        <f t="shared" si="118"/>
        <v>0.6745000000000001</v>
      </c>
      <c r="AO66" s="12" t="str">
        <f t="shared" si="119"/>
        <v/>
      </c>
      <c r="AP66" s="12">
        <f t="shared" si="120"/>
        <v>0.95</v>
      </c>
      <c r="AQ66" s="12">
        <f t="shared" si="121"/>
        <v>1.42</v>
      </c>
      <c r="AR66" s="12">
        <f t="shared" si="122"/>
        <v>6.7450000000000001</v>
      </c>
      <c r="AS66" s="12" t="str">
        <f t="shared" si="8"/>
        <v/>
      </c>
      <c r="AT66" s="12" t="str">
        <f t="shared" si="9"/>
        <v/>
      </c>
      <c r="AU66" s="12" t="str">
        <f t="shared" si="10"/>
        <v/>
      </c>
      <c r="AV66" s="17"/>
      <c r="AX66" s="4"/>
    </row>
    <row r="67" spans="1:50" x14ac:dyDescent="0.25">
      <c r="A67" s="43" t="s">
        <v>275</v>
      </c>
      <c r="B67" s="52"/>
      <c r="C67" s="44"/>
      <c r="D67" s="43"/>
      <c r="E67" s="52"/>
      <c r="F67" s="46"/>
      <c r="G67" s="76" t="s">
        <v>263</v>
      </c>
      <c r="H67" s="48" t="s">
        <v>334</v>
      </c>
      <c r="I67" s="48"/>
      <c r="J67" s="84"/>
      <c r="K67" s="85"/>
      <c r="L67" s="47"/>
      <c r="M67" s="3">
        <v>0.55000000000000004</v>
      </c>
      <c r="N67" s="3">
        <f t="shared" si="71"/>
        <v>3.5500000000000003</v>
      </c>
      <c r="O67" s="22">
        <v>0.2</v>
      </c>
      <c r="P67" s="23">
        <v>1</v>
      </c>
      <c r="Q67" s="3"/>
      <c r="R67" s="3"/>
      <c r="S67" s="3"/>
      <c r="T67" s="3"/>
      <c r="U67" s="3"/>
      <c r="V67" s="23"/>
      <c r="W67" s="3"/>
      <c r="X67" s="3"/>
      <c r="Y67" s="17"/>
      <c r="Z67" s="17"/>
      <c r="AA67" s="3">
        <f>0.2*2*3.55</f>
        <v>1.42</v>
      </c>
      <c r="AB67" s="3"/>
      <c r="AC67" s="3">
        <f t="shared" si="72"/>
        <v>3.9050000000000007</v>
      </c>
      <c r="AD67" s="3"/>
      <c r="AE67" s="3"/>
      <c r="AF67" s="3"/>
      <c r="AG67" s="3"/>
      <c r="AH67" s="3"/>
      <c r="AI67" s="3"/>
      <c r="AJ67" s="3"/>
      <c r="AK67" s="12">
        <f t="shared" si="115"/>
        <v>1.9525000000000003</v>
      </c>
      <c r="AL67" s="12">
        <f t="shared" si="116"/>
        <v>1.9525000000000003</v>
      </c>
      <c r="AM67" s="12">
        <f t="shared" si="117"/>
        <v>0.39050000000000007</v>
      </c>
      <c r="AN67" s="12">
        <f t="shared" si="118"/>
        <v>0.39050000000000007</v>
      </c>
      <c r="AO67" s="12" t="str">
        <f t="shared" si="119"/>
        <v/>
      </c>
      <c r="AP67" s="12">
        <f t="shared" si="120"/>
        <v>0.55000000000000004</v>
      </c>
      <c r="AQ67" s="12">
        <f t="shared" si="121"/>
        <v>1.42</v>
      </c>
      <c r="AR67" s="12">
        <f t="shared" si="122"/>
        <v>3.9050000000000007</v>
      </c>
      <c r="AS67" s="12" t="str">
        <f t="shared" si="8"/>
        <v/>
      </c>
      <c r="AT67" s="12" t="str">
        <f t="shared" si="9"/>
        <v/>
      </c>
      <c r="AU67" s="12" t="str">
        <f t="shared" si="10"/>
        <v/>
      </c>
      <c r="AV67" s="17"/>
      <c r="AX67" s="4"/>
    </row>
    <row r="68" spans="1:50" x14ac:dyDescent="0.25">
      <c r="A68" s="43" t="s">
        <v>275</v>
      </c>
      <c r="B68" s="52"/>
      <c r="C68" s="44"/>
      <c r="D68" s="43"/>
      <c r="E68" s="52"/>
      <c r="F68" s="46"/>
      <c r="G68" s="76" t="s">
        <v>264</v>
      </c>
      <c r="H68" s="48" t="s">
        <v>334</v>
      </c>
      <c r="I68" s="48"/>
      <c r="J68" s="84"/>
      <c r="K68" s="85"/>
      <c r="L68" s="47"/>
      <c r="M68" s="3">
        <v>0.3</v>
      </c>
      <c r="N68" s="3">
        <f t="shared" si="71"/>
        <v>3.5500000000000003</v>
      </c>
      <c r="O68" s="22">
        <v>0.2</v>
      </c>
      <c r="P68" s="23">
        <v>1</v>
      </c>
      <c r="Q68" s="3"/>
      <c r="R68" s="3"/>
      <c r="S68" s="3"/>
      <c r="T68" s="3"/>
      <c r="U68" s="3"/>
      <c r="V68" s="23"/>
      <c r="W68" s="3"/>
      <c r="X68" s="3"/>
      <c r="Y68" s="17"/>
      <c r="Z68" s="17"/>
      <c r="AA68" s="3">
        <f>0.2*2*3.55</f>
        <v>1.42</v>
      </c>
      <c r="AB68" s="3"/>
      <c r="AC68" s="3">
        <f t="shared" si="72"/>
        <v>2.13</v>
      </c>
      <c r="AD68" s="3"/>
      <c r="AE68" s="3"/>
      <c r="AF68" s="3"/>
      <c r="AG68" s="3"/>
      <c r="AH68" s="3"/>
      <c r="AI68" s="3"/>
      <c r="AJ68" s="3"/>
      <c r="AK68" s="12">
        <f t="shared" si="115"/>
        <v>1.0649999999999999</v>
      </c>
      <c r="AL68" s="12">
        <f t="shared" si="116"/>
        <v>1.0649999999999999</v>
      </c>
      <c r="AM68" s="12">
        <f t="shared" si="117"/>
        <v>0.21299999999999999</v>
      </c>
      <c r="AN68" s="12">
        <f t="shared" si="118"/>
        <v>0.21299999999999999</v>
      </c>
      <c r="AO68" s="12" t="str">
        <f t="shared" si="119"/>
        <v/>
      </c>
      <c r="AP68" s="12">
        <f t="shared" si="120"/>
        <v>0.3</v>
      </c>
      <c r="AQ68" s="12">
        <f t="shared" si="121"/>
        <v>1.42</v>
      </c>
      <c r="AR68" s="12">
        <f t="shared" si="122"/>
        <v>2.13</v>
      </c>
      <c r="AS68" s="12" t="str">
        <f t="shared" si="8"/>
        <v/>
      </c>
      <c r="AT68" s="12" t="str">
        <f t="shared" si="9"/>
        <v/>
      </c>
      <c r="AU68" s="12" t="str">
        <f t="shared" si="10"/>
        <v/>
      </c>
      <c r="AV68" s="17"/>
      <c r="AX68" s="4"/>
    </row>
    <row r="69" spans="1:50" x14ac:dyDescent="0.25">
      <c r="A69" s="43" t="s">
        <v>275</v>
      </c>
      <c r="B69" s="52"/>
      <c r="C69" s="44"/>
      <c r="D69" s="43"/>
      <c r="E69" s="52"/>
      <c r="F69" s="46"/>
      <c r="G69" s="76" t="s">
        <v>265</v>
      </c>
      <c r="H69" s="48" t="s">
        <v>334</v>
      </c>
      <c r="I69" s="48"/>
      <c r="J69" s="84"/>
      <c r="K69" s="85"/>
      <c r="L69" s="47"/>
      <c r="M69" s="3">
        <v>5.74</v>
      </c>
      <c r="N69" s="3">
        <f t="shared" si="71"/>
        <v>3.5500000000000003</v>
      </c>
      <c r="O69" s="22">
        <v>0.2</v>
      </c>
      <c r="P69" s="23">
        <v>1</v>
      </c>
      <c r="Q69" s="3"/>
      <c r="R69" s="3">
        <f>1.5*2.25</f>
        <v>3.375</v>
      </c>
      <c r="S69" s="3"/>
      <c r="T69" s="3"/>
      <c r="U69" s="3"/>
      <c r="V69" s="23"/>
      <c r="W69" s="3"/>
      <c r="X69" s="3"/>
      <c r="Y69" s="17"/>
      <c r="Z69" s="17"/>
      <c r="AA69" s="3">
        <f>(1.5+2.25*2)*0.2</f>
        <v>1.2000000000000002</v>
      </c>
      <c r="AB69" s="3"/>
      <c r="AC69" s="3">
        <f t="shared" si="72"/>
        <v>40.754000000000005</v>
      </c>
      <c r="AD69" s="3">
        <f>-R69*2</f>
        <v>-6.75</v>
      </c>
      <c r="AE69" s="3"/>
      <c r="AF69" s="3"/>
      <c r="AG69" s="3"/>
      <c r="AH69" s="3"/>
      <c r="AI69" s="3"/>
      <c r="AJ69" s="3"/>
      <c r="AK69" s="12">
        <f t="shared" ref="AK69" si="148">IF(((M69*N69)-Q69-R69-S69+T69+U69)=0,"",((M69*N69)-Q69-R69-S69+T69+U69))</f>
        <v>17.002000000000002</v>
      </c>
      <c r="AL69" s="12">
        <f t="shared" ref="AL69" si="149">IF(PRODUCT(P69,AK69)=0,"",P69*AK69)</f>
        <v>17.002000000000002</v>
      </c>
      <c r="AM69" s="12">
        <f t="shared" ref="AM69" si="150">IF(PRODUCT(AK69,O69)=0,"",AK69*O69)</f>
        <v>3.4004000000000008</v>
      </c>
      <c r="AN69" s="12">
        <f t="shared" ref="AN69" si="151">IF(PRODUCT(AM69,P69)=0,"",AM69*P69)</f>
        <v>3.4004000000000008</v>
      </c>
      <c r="AO69" s="12" t="str">
        <f t="shared" ref="AO69" si="152">IF(N69*V69-W69+X69=0,"",N69*V69-W69+X69)</f>
        <v/>
      </c>
      <c r="AP69" s="12">
        <f t="shared" ref="AP69" si="153">IF(PRODUCT(M69,P69)=0,"",M69*P69)</f>
        <v>5.74</v>
      </c>
      <c r="AQ69" s="12">
        <f t="shared" ref="AQ69" si="154">IF(AA69+AB69=0,"",AA69+AB69)</f>
        <v>1.2000000000000002</v>
      </c>
      <c r="AR69" s="12">
        <f t="shared" ref="AR69" si="155">IF(AC69+AD69=0,"",AC69+AD69)</f>
        <v>34.004000000000005</v>
      </c>
      <c r="AS69" s="12" t="str">
        <f t="shared" si="8"/>
        <v/>
      </c>
      <c r="AT69" s="12" t="str">
        <f t="shared" si="9"/>
        <v/>
      </c>
      <c r="AU69" s="12" t="str">
        <f t="shared" si="10"/>
        <v/>
      </c>
      <c r="AV69" s="17"/>
      <c r="AX69" s="4"/>
    </row>
    <row r="70" spans="1:50" x14ac:dyDescent="0.25">
      <c r="A70" s="43" t="s">
        <v>275</v>
      </c>
      <c r="B70" s="52"/>
      <c r="C70" s="44"/>
      <c r="D70" s="43"/>
      <c r="E70" s="52"/>
      <c r="F70" s="46"/>
      <c r="G70" s="76" t="s">
        <v>266</v>
      </c>
      <c r="H70" s="48" t="s">
        <v>334</v>
      </c>
      <c r="I70" s="48"/>
      <c r="J70" s="84"/>
      <c r="K70" s="85"/>
      <c r="L70" s="47"/>
      <c r="M70" s="3">
        <v>2.4</v>
      </c>
      <c r="N70" s="3">
        <f t="shared" si="71"/>
        <v>3.5500000000000003</v>
      </c>
      <c r="O70" s="22">
        <v>0.2</v>
      </c>
      <c r="P70" s="23">
        <v>1</v>
      </c>
      <c r="Q70" s="3"/>
      <c r="R70" s="3"/>
      <c r="S70" s="3"/>
      <c r="T70" s="3"/>
      <c r="U70" s="3"/>
      <c r="V70" s="23"/>
      <c r="W70" s="3"/>
      <c r="X70" s="3"/>
      <c r="Y70" s="17"/>
      <c r="Z70" s="17"/>
      <c r="AA70" s="3"/>
      <c r="AB70" s="3"/>
      <c r="AC70" s="3">
        <f t="shared" si="72"/>
        <v>17.04</v>
      </c>
      <c r="AD70" s="3"/>
      <c r="AE70" s="3"/>
      <c r="AF70" s="3"/>
      <c r="AG70" s="3"/>
      <c r="AH70" s="3"/>
      <c r="AI70" s="3"/>
      <c r="AJ70" s="3"/>
      <c r="AK70" s="12">
        <f t="shared" si="115"/>
        <v>8.52</v>
      </c>
      <c r="AL70" s="12">
        <f t="shared" si="116"/>
        <v>8.52</v>
      </c>
      <c r="AM70" s="12">
        <f t="shared" si="117"/>
        <v>1.704</v>
      </c>
      <c r="AN70" s="12">
        <f t="shared" si="118"/>
        <v>1.704</v>
      </c>
      <c r="AO70" s="12" t="str">
        <f t="shared" si="119"/>
        <v/>
      </c>
      <c r="AP70" s="12">
        <f t="shared" si="120"/>
        <v>2.4</v>
      </c>
      <c r="AQ70" s="12" t="str">
        <f t="shared" si="121"/>
        <v/>
      </c>
      <c r="AR70" s="12">
        <f t="shared" si="122"/>
        <v>17.04</v>
      </c>
      <c r="AS70" s="12" t="str">
        <f t="shared" si="8"/>
        <v/>
      </c>
      <c r="AT70" s="12" t="str">
        <f t="shared" si="9"/>
        <v/>
      </c>
      <c r="AU70" s="12" t="str">
        <f t="shared" si="10"/>
        <v/>
      </c>
      <c r="AV70" s="17"/>
      <c r="AX70" s="4"/>
    </row>
    <row r="71" spans="1:50" x14ac:dyDescent="0.25">
      <c r="A71" s="43" t="s">
        <v>275</v>
      </c>
      <c r="B71" s="52"/>
      <c r="C71" s="44"/>
      <c r="D71" s="43"/>
      <c r="E71" s="52"/>
      <c r="F71" s="46"/>
      <c r="G71" s="76" t="s">
        <v>267</v>
      </c>
      <c r="H71" s="48" t="s">
        <v>334</v>
      </c>
      <c r="I71" s="48"/>
      <c r="J71" s="84"/>
      <c r="K71" s="85"/>
      <c r="L71" s="47"/>
      <c r="M71" s="3">
        <v>5.74</v>
      </c>
      <c r="N71" s="3">
        <f t="shared" si="71"/>
        <v>3.5500000000000003</v>
      </c>
      <c r="O71" s="22">
        <v>0.2</v>
      </c>
      <c r="P71" s="23">
        <v>1</v>
      </c>
      <c r="Q71" s="3"/>
      <c r="R71" s="3">
        <f>1.5*2.25</f>
        <v>3.375</v>
      </c>
      <c r="S71" s="3"/>
      <c r="T71" s="3"/>
      <c r="U71" s="3"/>
      <c r="V71" s="23"/>
      <c r="W71" s="3"/>
      <c r="X71" s="3"/>
      <c r="Y71" s="17"/>
      <c r="Z71" s="17"/>
      <c r="AA71" s="3">
        <f>(1.5+2.25*2)*0.2</f>
        <v>1.2000000000000002</v>
      </c>
      <c r="AB71" s="3"/>
      <c r="AC71" s="3">
        <f t="shared" si="72"/>
        <v>40.754000000000005</v>
      </c>
      <c r="AD71" s="3">
        <f>-R71*2</f>
        <v>-6.75</v>
      </c>
      <c r="AE71" s="3"/>
      <c r="AF71" s="3"/>
      <c r="AG71" s="3"/>
      <c r="AH71" s="3"/>
      <c r="AI71" s="3"/>
      <c r="AJ71" s="3"/>
      <c r="AK71" s="12">
        <f t="shared" si="115"/>
        <v>17.002000000000002</v>
      </c>
      <c r="AL71" s="12">
        <f t="shared" si="116"/>
        <v>17.002000000000002</v>
      </c>
      <c r="AM71" s="12">
        <f t="shared" si="117"/>
        <v>3.4004000000000008</v>
      </c>
      <c r="AN71" s="12">
        <f t="shared" si="118"/>
        <v>3.4004000000000008</v>
      </c>
      <c r="AO71" s="12" t="str">
        <f t="shared" si="119"/>
        <v/>
      </c>
      <c r="AP71" s="12">
        <f t="shared" si="120"/>
        <v>5.74</v>
      </c>
      <c r="AQ71" s="12">
        <f t="shared" si="121"/>
        <v>1.2000000000000002</v>
      </c>
      <c r="AR71" s="12">
        <f t="shared" si="122"/>
        <v>34.004000000000005</v>
      </c>
      <c r="AS71" s="12" t="str">
        <f t="shared" si="8"/>
        <v/>
      </c>
      <c r="AT71" s="12" t="str">
        <f t="shared" si="9"/>
        <v/>
      </c>
      <c r="AU71" s="12" t="str">
        <f t="shared" si="10"/>
        <v/>
      </c>
      <c r="AV71" s="17"/>
      <c r="AX71" s="4"/>
    </row>
    <row r="72" spans="1:50" x14ac:dyDescent="0.25">
      <c r="A72" s="43" t="s">
        <v>275</v>
      </c>
      <c r="B72" s="52"/>
      <c r="C72" s="44"/>
      <c r="D72" s="43"/>
      <c r="E72" s="52"/>
      <c r="F72" s="46"/>
      <c r="G72" s="76" t="s">
        <v>268</v>
      </c>
      <c r="H72" s="48" t="s">
        <v>334</v>
      </c>
      <c r="I72" s="48"/>
      <c r="J72" s="84"/>
      <c r="K72" s="85"/>
      <c r="L72" s="47"/>
      <c r="M72" s="3">
        <v>0.6</v>
      </c>
      <c r="N72" s="3">
        <f t="shared" si="71"/>
        <v>3.5500000000000003</v>
      </c>
      <c r="O72" s="22">
        <v>0.2</v>
      </c>
      <c r="P72" s="23">
        <v>1</v>
      </c>
      <c r="Q72" s="3"/>
      <c r="R72" s="3"/>
      <c r="S72" s="3"/>
      <c r="T72" s="3"/>
      <c r="U72" s="3"/>
      <c r="V72" s="23"/>
      <c r="W72" s="3"/>
      <c r="X72" s="3"/>
      <c r="Y72" s="17"/>
      <c r="Z72" s="17"/>
      <c r="AA72" s="3">
        <f>0.2*3.55</f>
        <v>0.71</v>
      </c>
      <c r="AB72" s="3"/>
      <c r="AC72" s="3">
        <f t="shared" si="72"/>
        <v>4.26</v>
      </c>
      <c r="AD72" s="3"/>
      <c r="AE72" s="3"/>
      <c r="AF72" s="3"/>
      <c r="AG72" s="3"/>
      <c r="AH72" s="3"/>
      <c r="AI72" s="3"/>
      <c r="AJ72" s="3"/>
      <c r="AK72" s="12">
        <f t="shared" si="115"/>
        <v>2.13</v>
      </c>
      <c r="AL72" s="12">
        <f t="shared" si="116"/>
        <v>2.13</v>
      </c>
      <c r="AM72" s="12">
        <f t="shared" si="117"/>
        <v>0.42599999999999999</v>
      </c>
      <c r="AN72" s="12">
        <f t="shared" si="118"/>
        <v>0.42599999999999999</v>
      </c>
      <c r="AO72" s="12" t="str">
        <f t="shared" si="119"/>
        <v/>
      </c>
      <c r="AP72" s="12">
        <f t="shared" si="120"/>
        <v>0.6</v>
      </c>
      <c r="AQ72" s="12">
        <f t="shared" si="121"/>
        <v>0.71</v>
      </c>
      <c r="AR72" s="12">
        <f t="shared" si="122"/>
        <v>4.26</v>
      </c>
      <c r="AS72" s="12" t="str">
        <f t="shared" si="8"/>
        <v/>
      </c>
      <c r="AT72" s="12" t="str">
        <f t="shared" si="9"/>
        <v/>
      </c>
      <c r="AU72" s="12" t="str">
        <f t="shared" si="10"/>
        <v/>
      </c>
      <c r="AV72" s="17"/>
      <c r="AX72" s="4"/>
    </row>
    <row r="73" spans="1:50" x14ac:dyDescent="0.25">
      <c r="A73" s="43" t="s">
        <v>275</v>
      </c>
      <c r="B73" s="52"/>
      <c r="C73" s="44"/>
      <c r="D73" s="43"/>
      <c r="E73" s="52"/>
      <c r="F73" s="46"/>
      <c r="G73" s="76"/>
      <c r="H73" s="48" t="s">
        <v>334</v>
      </c>
      <c r="I73" s="48"/>
      <c r="J73" s="84"/>
      <c r="K73" s="85"/>
      <c r="L73" s="47"/>
      <c r="M73" s="3">
        <f>3.55-M72</f>
        <v>2.9499999999999997</v>
      </c>
      <c r="N73" s="3">
        <f>3.1+0.2</f>
        <v>3.3000000000000003</v>
      </c>
      <c r="O73" s="22">
        <v>0.2</v>
      </c>
      <c r="P73" s="23">
        <v>1</v>
      </c>
      <c r="Q73" s="3"/>
      <c r="R73" s="3"/>
      <c r="S73" s="3"/>
      <c r="T73" s="3"/>
      <c r="U73" s="3"/>
      <c r="V73" s="23"/>
      <c r="W73" s="3"/>
      <c r="X73" s="3"/>
      <c r="Y73" s="17"/>
      <c r="Z73" s="17"/>
      <c r="AA73" s="3"/>
      <c r="AB73" s="3"/>
      <c r="AC73" s="3">
        <f t="shared" si="72"/>
        <v>19.47</v>
      </c>
      <c r="AD73" s="3"/>
      <c r="AE73" s="3"/>
      <c r="AF73" s="3"/>
      <c r="AG73" s="3"/>
      <c r="AH73" s="3"/>
      <c r="AI73" s="3"/>
      <c r="AJ73" s="3"/>
      <c r="AK73" s="12">
        <f t="shared" ref="AK73" si="156">IF(((M73*N73)-Q73-R73-S73+T73+U73)=0,"",((M73*N73)-Q73-R73-S73+T73+U73))</f>
        <v>9.7349999999999994</v>
      </c>
      <c r="AL73" s="12">
        <f t="shared" ref="AL73" si="157">IF(PRODUCT(P73,AK73)=0,"",P73*AK73)</f>
        <v>9.7349999999999994</v>
      </c>
      <c r="AM73" s="12">
        <f t="shared" ref="AM73" si="158">IF(PRODUCT(AK73,O73)=0,"",AK73*O73)</f>
        <v>1.9470000000000001</v>
      </c>
      <c r="AN73" s="12">
        <f t="shared" ref="AN73" si="159">IF(PRODUCT(AM73,P73)=0,"",AM73*P73)</f>
        <v>1.9470000000000001</v>
      </c>
      <c r="AO73" s="12" t="str">
        <f t="shared" ref="AO73" si="160">IF(N73*V73-W73+X73=0,"",N73*V73-W73+X73)</f>
        <v/>
      </c>
      <c r="AP73" s="12">
        <f t="shared" ref="AP73" si="161">IF(PRODUCT(M73,P73)=0,"",M73*P73)</f>
        <v>2.9499999999999997</v>
      </c>
      <c r="AQ73" s="12" t="str">
        <f t="shared" ref="AQ73" si="162">IF(AA73+AB73=0,"",AA73+AB73)</f>
        <v/>
      </c>
      <c r="AR73" s="12">
        <f t="shared" ref="AR73" si="163">IF(AC73+AD73=0,"",AC73+AD73)</f>
        <v>19.47</v>
      </c>
      <c r="AS73" s="12" t="str">
        <f t="shared" si="8"/>
        <v/>
      </c>
      <c r="AT73" s="12" t="str">
        <f t="shared" si="9"/>
        <v/>
      </c>
      <c r="AU73" s="12" t="str">
        <f t="shared" si="10"/>
        <v/>
      </c>
      <c r="AV73" s="17"/>
      <c r="AX73" s="4"/>
    </row>
    <row r="74" spans="1:50" x14ac:dyDescent="0.25">
      <c r="A74" s="43" t="s">
        <v>275</v>
      </c>
      <c r="B74" s="52"/>
      <c r="C74" s="44"/>
      <c r="D74" s="43"/>
      <c r="E74" s="52"/>
      <c r="F74" s="46"/>
      <c r="G74" s="76" t="s">
        <v>269</v>
      </c>
      <c r="H74" s="48" t="s">
        <v>334</v>
      </c>
      <c r="I74" s="48"/>
      <c r="J74" s="84"/>
      <c r="K74" s="85"/>
      <c r="L74" s="47"/>
      <c r="M74" s="3">
        <v>3.4</v>
      </c>
      <c r="N74" s="3">
        <f>3.1+0.2</f>
        <v>3.3000000000000003</v>
      </c>
      <c r="O74" s="22">
        <v>0.2</v>
      </c>
      <c r="P74" s="23">
        <v>1</v>
      </c>
      <c r="Q74" s="3"/>
      <c r="R74" s="3"/>
      <c r="S74" s="3"/>
      <c r="T74" s="3"/>
      <c r="U74" s="3"/>
      <c r="V74" s="23"/>
      <c r="W74" s="3"/>
      <c r="X74" s="3"/>
      <c r="Y74" s="17"/>
      <c r="Z74" s="17"/>
      <c r="AA74" s="3">
        <f>0.2*3.3*2</f>
        <v>1.32</v>
      </c>
      <c r="AB74" s="3"/>
      <c r="AC74" s="3">
        <f t="shared" si="72"/>
        <v>22.44</v>
      </c>
      <c r="AD74" s="3"/>
      <c r="AE74" s="3"/>
      <c r="AF74" s="3"/>
      <c r="AG74" s="3"/>
      <c r="AH74" s="3"/>
      <c r="AI74" s="3"/>
      <c r="AJ74" s="3"/>
      <c r="AK74" s="12">
        <f t="shared" si="115"/>
        <v>11.22</v>
      </c>
      <c r="AL74" s="12">
        <f t="shared" si="116"/>
        <v>11.22</v>
      </c>
      <c r="AM74" s="12">
        <f t="shared" si="117"/>
        <v>2.2440000000000002</v>
      </c>
      <c r="AN74" s="12">
        <f t="shared" si="118"/>
        <v>2.2440000000000002</v>
      </c>
      <c r="AO74" s="12" t="str">
        <f t="shared" si="119"/>
        <v/>
      </c>
      <c r="AP74" s="12">
        <f t="shared" si="120"/>
        <v>3.4</v>
      </c>
      <c r="AQ74" s="12">
        <f t="shared" si="121"/>
        <v>1.32</v>
      </c>
      <c r="AR74" s="12">
        <f t="shared" si="122"/>
        <v>22.44</v>
      </c>
      <c r="AS74" s="12" t="str">
        <f t="shared" ref="AS74:AS237" si="164">IF((AE74*AH74*AI74)*P74=0,"",(AE74*AH74*AI74)*P74)</f>
        <v/>
      </c>
      <c r="AT74" s="12" t="str">
        <f t="shared" ref="AT74:AT236" si="165">IF(AJ74*P74=0,"",AJ74*P74)</f>
        <v/>
      </c>
      <c r="AU74" s="12" t="str">
        <f t="shared" ref="AU74:AU260" si="166">IF(OR(H74="s1",H74="s2",H74="s3",H74="s4",H74="s4*",H74="s5",H74="s12",H74="s16"),IF(M74&gt;=4,M74,""),"")</f>
        <v/>
      </c>
      <c r="AV74" s="17"/>
      <c r="AX74" s="4"/>
    </row>
    <row r="75" spans="1:50" x14ac:dyDescent="0.25">
      <c r="A75" s="43" t="s">
        <v>275</v>
      </c>
      <c r="B75" s="52"/>
      <c r="C75" s="44"/>
      <c r="D75" s="43"/>
      <c r="E75" s="52"/>
      <c r="F75" s="46"/>
      <c r="G75" s="76" t="s">
        <v>270</v>
      </c>
      <c r="H75" s="48" t="s">
        <v>334</v>
      </c>
      <c r="I75" s="48"/>
      <c r="J75" s="84"/>
      <c r="K75" s="85"/>
      <c r="L75" s="47"/>
      <c r="M75" s="3">
        <v>0.2</v>
      </c>
      <c r="N75" s="3">
        <f t="shared" si="71"/>
        <v>3.5500000000000003</v>
      </c>
      <c r="O75" s="22">
        <v>0.2</v>
      </c>
      <c r="P75" s="23">
        <v>2</v>
      </c>
      <c r="Q75" s="3"/>
      <c r="R75" s="3"/>
      <c r="S75" s="3"/>
      <c r="T75" s="3"/>
      <c r="U75" s="3"/>
      <c r="V75" s="23"/>
      <c r="W75" s="3"/>
      <c r="X75" s="3"/>
      <c r="Y75" s="17"/>
      <c r="Z75" s="17"/>
      <c r="AA75" s="3">
        <f>0.2*3.55*2</f>
        <v>1.42</v>
      </c>
      <c r="AB75" s="3"/>
      <c r="AC75" s="3">
        <f t="shared" si="72"/>
        <v>1.4200000000000002</v>
      </c>
      <c r="AD75" s="3"/>
      <c r="AE75" s="3"/>
      <c r="AF75" s="3"/>
      <c r="AG75" s="3"/>
      <c r="AH75" s="3"/>
      <c r="AI75" s="3"/>
      <c r="AJ75" s="3"/>
      <c r="AK75" s="12">
        <f t="shared" si="115"/>
        <v>0.71000000000000008</v>
      </c>
      <c r="AL75" s="12">
        <f t="shared" si="116"/>
        <v>1.4200000000000002</v>
      </c>
      <c r="AM75" s="12">
        <f t="shared" si="117"/>
        <v>0.14200000000000002</v>
      </c>
      <c r="AN75" s="12">
        <f t="shared" si="118"/>
        <v>0.28400000000000003</v>
      </c>
      <c r="AO75" s="12" t="str">
        <f t="shared" si="119"/>
        <v/>
      </c>
      <c r="AP75" s="12">
        <f t="shared" si="120"/>
        <v>0.4</v>
      </c>
      <c r="AQ75" s="12">
        <f t="shared" si="121"/>
        <v>1.42</v>
      </c>
      <c r="AR75" s="12">
        <f t="shared" si="122"/>
        <v>1.4200000000000002</v>
      </c>
      <c r="AS75" s="12" t="str">
        <f t="shared" si="164"/>
        <v/>
      </c>
      <c r="AT75" s="12" t="str">
        <f t="shared" si="165"/>
        <v/>
      </c>
      <c r="AU75" s="12" t="str">
        <f t="shared" si="166"/>
        <v/>
      </c>
      <c r="AV75" s="17"/>
      <c r="AX75" s="4"/>
    </row>
    <row r="76" spans="1:50" x14ac:dyDescent="0.25">
      <c r="A76" s="43" t="s">
        <v>275</v>
      </c>
      <c r="B76" s="52"/>
      <c r="C76" s="44"/>
      <c r="D76" s="43"/>
      <c r="E76" s="52"/>
      <c r="F76" s="46"/>
      <c r="G76" s="76"/>
      <c r="H76" s="48" t="s">
        <v>334</v>
      </c>
      <c r="I76" s="48"/>
      <c r="J76" s="84"/>
      <c r="K76" s="85"/>
      <c r="L76" s="47"/>
      <c r="M76" s="3">
        <v>0.2</v>
      </c>
      <c r="N76" s="3">
        <v>3.3</v>
      </c>
      <c r="O76" s="22">
        <v>0.2</v>
      </c>
      <c r="P76" s="23">
        <v>2</v>
      </c>
      <c r="Q76" s="3"/>
      <c r="R76" s="3"/>
      <c r="S76" s="3"/>
      <c r="T76" s="3"/>
      <c r="U76" s="3"/>
      <c r="V76" s="23"/>
      <c r="W76" s="3"/>
      <c r="X76" s="3"/>
      <c r="Y76" s="17"/>
      <c r="Z76" s="17"/>
      <c r="AA76" s="3">
        <f>0.2*3.3*2</f>
        <v>1.32</v>
      </c>
      <c r="AB76" s="3"/>
      <c r="AC76" s="3">
        <f t="shared" si="72"/>
        <v>1.32</v>
      </c>
      <c r="AD76" s="3"/>
      <c r="AE76" s="3"/>
      <c r="AF76" s="3"/>
      <c r="AG76" s="3"/>
      <c r="AH76" s="3"/>
      <c r="AI76" s="3"/>
      <c r="AJ76" s="3"/>
      <c r="AK76" s="12">
        <f t="shared" si="115"/>
        <v>0.66</v>
      </c>
      <c r="AL76" s="12">
        <f t="shared" si="116"/>
        <v>1.32</v>
      </c>
      <c r="AM76" s="12">
        <f t="shared" si="117"/>
        <v>0.13200000000000001</v>
      </c>
      <c r="AN76" s="12">
        <f t="shared" si="118"/>
        <v>0.26400000000000001</v>
      </c>
      <c r="AO76" s="12" t="str">
        <f t="shared" si="119"/>
        <v/>
      </c>
      <c r="AP76" s="12">
        <f t="shared" si="120"/>
        <v>0.4</v>
      </c>
      <c r="AQ76" s="12">
        <f t="shared" si="121"/>
        <v>1.32</v>
      </c>
      <c r="AR76" s="12">
        <f t="shared" si="122"/>
        <v>1.32</v>
      </c>
      <c r="AS76" s="12" t="str">
        <f t="shared" si="164"/>
        <v/>
      </c>
      <c r="AT76" s="12" t="str">
        <f t="shared" si="165"/>
        <v/>
      </c>
      <c r="AU76" s="12" t="str">
        <f t="shared" si="166"/>
        <v/>
      </c>
      <c r="AV76" s="17"/>
      <c r="AX76" s="4"/>
    </row>
    <row r="77" spans="1:50" x14ac:dyDescent="0.25">
      <c r="A77" s="43" t="s">
        <v>275</v>
      </c>
      <c r="B77" s="52"/>
      <c r="C77" s="44"/>
      <c r="D77" s="43"/>
      <c r="E77" s="52"/>
      <c r="F77" s="46"/>
      <c r="G77" s="76" t="s">
        <v>271</v>
      </c>
      <c r="H77" s="48" t="s">
        <v>334</v>
      </c>
      <c r="I77" s="48"/>
      <c r="J77" s="84"/>
      <c r="K77" s="85"/>
      <c r="L77" s="47"/>
      <c r="M77" s="3">
        <f>4.15-0.6</f>
        <v>3.5500000000000003</v>
      </c>
      <c r="N77" s="3">
        <f>3.1+0.2</f>
        <v>3.3000000000000003</v>
      </c>
      <c r="O77" s="22">
        <v>0.2</v>
      </c>
      <c r="P77" s="23">
        <v>1</v>
      </c>
      <c r="Q77" s="3"/>
      <c r="R77" s="3"/>
      <c r="S77" s="3"/>
      <c r="T77" s="3"/>
      <c r="U77" s="3"/>
      <c r="V77" s="23"/>
      <c r="W77" s="3"/>
      <c r="X77" s="3"/>
      <c r="Y77" s="17"/>
      <c r="Z77" s="17"/>
      <c r="AA77" s="3"/>
      <c r="AB77" s="3"/>
      <c r="AC77" s="3">
        <f t="shared" si="72"/>
        <v>23.430000000000003</v>
      </c>
      <c r="AD77" s="3"/>
      <c r="AE77" s="3"/>
      <c r="AF77" s="3"/>
      <c r="AG77" s="3"/>
      <c r="AH77" s="3"/>
      <c r="AI77" s="3"/>
      <c r="AJ77" s="3"/>
      <c r="AK77" s="12">
        <f t="shared" si="115"/>
        <v>11.715000000000002</v>
      </c>
      <c r="AL77" s="12">
        <f t="shared" si="116"/>
        <v>11.715000000000002</v>
      </c>
      <c r="AM77" s="12">
        <f t="shared" si="117"/>
        <v>2.3430000000000004</v>
      </c>
      <c r="AN77" s="12">
        <f t="shared" si="118"/>
        <v>2.3430000000000004</v>
      </c>
      <c r="AO77" s="12" t="str">
        <f t="shared" si="119"/>
        <v/>
      </c>
      <c r="AP77" s="12">
        <f t="shared" si="120"/>
        <v>3.5500000000000003</v>
      </c>
      <c r="AQ77" s="12" t="str">
        <f t="shared" si="121"/>
        <v/>
      </c>
      <c r="AR77" s="12">
        <f t="shared" si="122"/>
        <v>23.430000000000003</v>
      </c>
      <c r="AS77" s="12" t="str">
        <f t="shared" si="164"/>
        <v/>
      </c>
      <c r="AT77" s="12" t="str">
        <f t="shared" si="165"/>
        <v/>
      </c>
      <c r="AU77" s="12" t="str">
        <f t="shared" si="166"/>
        <v/>
      </c>
      <c r="AV77" s="17"/>
      <c r="AX77" s="4"/>
    </row>
    <row r="78" spans="1:50" x14ac:dyDescent="0.25">
      <c r="A78" s="43" t="s">
        <v>275</v>
      </c>
      <c r="B78" s="52"/>
      <c r="C78" s="44"/>
      <c r="D78" s="43"/>
      <c r="E78" s="52"/>
      <c r="F78" s="46"/>
      <c r="G78" s="76"/>
      <c r="H78" s="48" t="s">
        <v>334</v>
      </c>
      <c r="I78" s="48"/>
      <c r="J78" s="84"/>
      <c r="K78" s="85"/>
      <c r="L78" s="47"/>
      <c r="M78" s="3">
        <v>0.6</v>
      </c>
      <c r="N78" s="3">
        <f t="shared" si="71"/>
        <v>3.5500000000000003</v>
      </c>
      <c r="O78" s="22">
        <v>0.2</v>
      </c>
      <c r="P78" s="23">
        <v>1</v>
      </c>
      <c r="Q78" s="3"/>
      <c r="R78" s="3"/>
      <c r="S78" s="3"/>
      <c r="T78" s="3"/>
      <c r="U78" s="3"/>
      <c r="V78" s="23"/>
      <c r="W78" s="3"/>
      <c r="X78" s="3"/>
      <c r="Y78" s="17"/>
      <c r="Z78" s="17"/>
      <c r="AA78" s="3">
        <f>0.2*3.55</f>
        <v>0.71</v>
      </c>
      <c r="AB78" s="3"/>
      <c r="AC78" s="3">
        <f t="shared" si="72"/>
        <v>4.26</v>
      </c>
      <c r="AD78" s="3"/>
      <c r="AE78" s="3"/>
      <c r="AF78" s="3"/>
      <c r="AG78" s="3"/>
      <c r="AH78" s="3"/>
      <c r="AI78" s="3"/>
      <c r="AJ78" s="3"/>
      <c r="AK78" s="12">
        <f t="shared" si="115"/>
        <v>2.13</v>
      </c>
      <c r="AL78" s="12">
        <f t="shared" si="116"/>
        <v>2.13</v>
      </c>
      <c r="AM78" s="12">
        <f t="shared" si="117"/>
        <v>0.42599999999999999</v>
      </c>
      <c r="AN78" s="12">
        <f t="shared" si="118"/>
        <v>0.42599999999999999</v>
      </c>
      <c r="AO78" s="12" t="str">
        <f t="shared" si="119"/>
        <v/>
      </c>
      <c r="AP78" s="12">
        <f t="shared" si="120"/>
        <v>0.6</v>
      </c>
      <c r="AQ78" s="12">
        <f t="shared" si="121"/>
        <v>0.71</v>
      </c>
      <c r="AR78" s="12">
        <f t="shared" si="122"/>
        <v>4.26</v>
      </c>
      <c r="AS78" s="12" t="str">
        <f t="shared" si="164"/>
        <v/>
      </c>
      <c r="AT78" s="12" t="str">
        <f t="shared" si="165"/>
        <v/>
      </c>
      <c r="AU78" s="12" t="str">
        <f t="shared" si="166"/>
        <v/>
      </c>
      <c r="AV78" s="17"/>
      <c r="AX78" s="4"/>
    </row>
    <row r="79" spans="1:50" x14ac:dyDescent="0.25">
      <c r="A79" s="43" t="s">
        <v>275</v>
      </c>
      <c r="B79" s="52"/>
      <c r="C79" s="44"/>
      <c r="D79" s="43"/>
      <c r="E79" s="52"/>
      <c r="F79" s="46"/>
      <c r="G79" s="76" t="s">
        <v>272</v>
      </c>
      <c r="H79" s="48" t="s">
        <v>334</v>
      </c>
      <c r="I79" s="48"/>
      <c r="J79" s="84"/>
      <c r="K79" s="85"/>
      <c r="L79" s="47"/>
      <c r="M79" s="3">
        <v>4.2300000000000004</v>
      </c>
      <c r="N79" s="3">
        <f t="shared" si="71"/>
        <v>3.5500000000000003</v>
      </c>
      <c r="O79" s="22">
        <v>0.2</v>
      </c>
      <c r="P79" s="23">
        <v>1</v>
      </c>
      <c r="Q79" s="3"/>
      <c r="R79" s="3"/>
      <c r="S79" s="3"/>
      <c r="T79" s="3"/>
      <c r="U79" s="3"/>
      <c r="V79" s="23"/>
      <c r="W79" s="3"/>
      <c r="X79" s="3"/>
      <c r="Y79" s="17"/>
      <c r="Z79" s="17"/>
      <c r="AA79" s="3">
        <f>0.2*3.55</f>
        <v>0.71</v>
      </c>
      <c r="AB79" s="3"/>
      <c r="AC79" s="3">
        <f t="shared" si="72"/>
        <v>30.033000000000005</v>
      </c>
      <c r="AD79" s="3"/>
      <c r="AE79" s="3"/>
      <c r="AF79" s="3"/>
      <c r="AG79" s="3"/>
      <c r="AH79" s="3"/>
      <c r="AI79" s="3"/>
      <c r="AJ79" s="3"/>
      <c r="AK79" s="12">
        <f t="shared" si="115"/>
        <v>15.016500000000002</v>
      </c>
      <c r="AL79" s="12">
        <f t="shared" si="116"/>
        <v>15.016500000000002</v>
      </c>
      <c r="AM79" s="12">
        <f t="shared" si="117"/>
        <v>3.0033000000000007</v>
      </c>
      <c r="AN79" s="12">
        <f t="shared" si="118"/>
        <v>3.0033000000000007</v>
      </c>
      <c r="AO79" s="12" t="str">
        <f t="shared" si="119"/>
        <v/>
      </c>
      <c r="AP79" s="12">
        <f t="shared" si="120"/>
        <v>4.2300000000000004</v>
      </c>
      <c r="AQ79" s="12">
        <f t="shared" si="121"/>
        <v>0.71</v>
      </c>
      <c r="AR79" s="12">
        <f t="shared" si="122"/>
        <v>30.033000000000005</v>
      </c>
      <c r="AS79" s="12" t="str">
        <f t="shared" si="164"/>
        <v/>
      </c>
      <c r="AT79" s="12" t="str">
        <f t="shared" si="165"/>
        <v/>
      </c>
      <c r="AU79" s="12" t="str">
        <f t="shared" si="166"/>
        <v/>
      </c>
      <c r="AV79" s="17"/>
      <c r="AX79" s="4"/>
    </row>
    <row r="80" spans="1:50" x14ac:dyDescent="0.25">
      <c r="A80" s="43" t="s">
        <v>275</v>
      </c>
      <c r="B80" s="52"/>
      <c r="C80" s="44"/>
      <c r="D80" s="43"/>
      <c r="E80" s="52"/>
      <c r="F80" s="46"/>
      <c r="G80" s="76" t="s">
        <v>274</v>
      </c>
      <c r="H80" s="48" t="s">
        <v>337</v>
      </c>
      <c r="I80" s="48"/>
      <c r="J80" s="84"/>
      <c r="K80" s="85"/>
      <c r="L80" s="47" t="s">
        <v>329</v>
      </c>
      <c r="M80" s="3">
        <v>0.3</v>
      </c>
      <c r="N80" s="3">
        <f t="shared" si="71"/>
        <v>3.5500000000000003</v>
      </c>
      <c r="O80" s="22">
        <v>0.3</v>
      </c>
      <c r="P80" s="23">
        <v>9</v>
      </c>
      <c r="Q80" s="3"/>
      <c r="R80" s="3"/>
      <c r="S80" s="3"/>
      <c r="T80" s="3"/>
      <c r="U80" s="3"/>
      <c r="V80" s="23"/>
      <c r="W80" s="3"/>
      <c r="X80" s="3"/>
      <c r="Y80" s="17"/>
      <c r="Z80" s="17"/>
      <c r="AA80" s="3">
        <f>(M80*2+O80*2)*N80*P80</f>
        <v>38.339999999999996</v>
      </c>
      <c r="AB80" s="3"/>
      <c r="AC80" s="3"/>
      <c r="AD80" s="3"/>
      <c r="AE80" s="3"/>
      <c r="AF80" s="3"/>
      <c r="AG80" s="3"/>
      <c r="AH80" s="3"/>
      <c r="AI80" s="3"/>
      <c r="AJ80" s="3"/>
      <c r="AK80" s="12">
        <f t="shared" si="115"/>
        <v>1.0649999999999999</v>
      </c>
      <c r="AL80" s="12">
        <f t="shared" si="116"/>
        <v>9.5849999999999991</v>
      </c>
      <c r="AM80" s="12">
        <f t="shared" si="117"/>
        <v>0.31949999999999995</v>
      </c>
      <c r="AN80" s="12">
        <f t="shared" si="118"/>
        <v>2.8754999999999997</v>
      </c>
      <c r="AO80" s="12" t="str">
        <f t="shared" si="119"/>
        <v/>
      </c>
      <c r="AP80" s="12">
        <f t="shared" si="120"/>
        <v>2.6999999999999997</v>
      </c>
      <c r="AQ80" s="12">
        <f t="shared" si="121"/>
        <v>38.339999999999996</v>
      </c>
      <c r="AR80" s="12" t="str">
        <f t="shared" si="122"/>
        <v/>
      </c>
      <c r="AS80" s="12" t="str">
        <f t="shared" si="164"/>
        <v/>
      </c>
      <c r="AT80" s="12" t="str">
        <f t="shared" si="165"/>
        <v/>
      </c>
      <c r="AU80" s="12" t="str">
        <f t="shared" si="166"/>
        <v/>
      </c>
      <c r="AV80" s="17"/>
      <c r="AX80" s="4"/>
    </row>
    <row r="81" spans="1:50" x14ac:dyDescent="0.25">
      <c r="A81" s="43" t="s">
        <v>275</v>
      </c>
      <c r="B81" s="52" t="s">
        <v>518</v>
      </c>
      <c r="C81" s="44"/>
      <c r="D81" s="43"/>
      <c r="E81" s="52" t="s">
        <v>519</v>
      </c>
      <c r="F81" s="46"/>
      <c r="G81" s="76" t="s">
        <v>495</v>
      </c>
      <c r="H81" s="48" t="s">
        <v>1090</v>
      </c>
      <c r="I81" s="48"/>
      <c r="J81" s="84" t="s">
        <v>1125</v>
      </c>
      <c r="K81" s="85"/>
      <c r="L81" s="47" t="s">
        <v>517</v>
      </c>
      <c r="M81" s="3">
        <f>0.6+0.4*2</f>
        <v>1.4</v>
      </c>
      <c r="N81" s="3">
        <f>3.1+0.2</f>
        <v>3.3000000000000003</v>
      </c>
      <c r="O81" s="22">
        <v>7.4999999999999997E-2</v>
      </c>
      <c r="P81" s="23">
        <v>1</v>
      </c>
      <c r="Q81" s="3"/>
      <c r="R81" s="3"/>
      <c r="S81" s="3"/>
      <c r="T81" s="3"/>
      <c r="U81" s="3"/>
      <c r="V81" s="23"/>
      <c r="W81" s="3"/>
      <c r="X81" s="3"/>
      <c r="Y81" s="17"/>
      <c r="Z81" s="17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12">
        <f t="shared" ref="AK81:AK205" si="167">IF(((M81*N81)-Q81-R81-S81+T81+U81)=0,"",((M81*N81)-Q81-R81-S81+T81+U81))</f>
        <v>4.62</v>
      </c>
      <c r="AL81" s="12">
        <f t="shared" ref="AL81:AL205" si="168">IF(PRODUCT(P81,AK81)=0,"",P81*AK81)</f>
        <v>4.62</v>
      </c>
      <c r="AM81" s="12">
        <f t="shared" ref="AM81:AM205" si="169">IF(PRODUCT(AK81,O81)=0,"",AK81*O81)</f>
        <v>0.34649999999999997</v>
      </c>
      <c r="AN81" s="12">
        <f t="shared" ref="AN81:AN205" si="170">IF(PRODUCT(AM81,P81)=0,"",AM81*P81)</f>
        <v>0.34649999999999997</v>
      </c>
      <c r="AO81" s="12" t="str">
        <f t="shared" ref="AO81:AO205" si="171">IF(N81*V81-W81+X81=0,"",N81*V81-W81+X81)</f>
        <v/>
      </c>
      <c r="AP81" s="12">
        <f t="shared" ref="AP81:AP205" si="172">IF(PRODUCT(M81,P81)=0,"",M81*P81)</f>
        <v>1.4</v>
      </c>
      <c r="AQ81" s="12" t="str">
        <f t="shared" ref="AQ81:AQ205" si="173">IF(AA81+AB81=0,"",AA81+AB81)</f>
        <v/>
      </c>
      <c r="AR81" s="12" t="str">
        <f t="shared" ref="AR81:AR205" si="174">IF(AC81+AD81=0,"",AC81+AD81)</f>
        <v/>
      </c>
      <c r="AS81" s="12" t="str">
        <f t="shared" ref="AS81:AS205" si="175">IF((AE81*AH81*AI81)*P81=0,"",(AE81*AH81*AI81)*P81)</f>
        <v/>
      </c>
      <c r="AT81" s="12" t="str">
        <f t="shared" ref="AT81:AT205" si="176">IF(AJ81*P81=0,"",AJ81*P81)</f>
        <v/>
      </c>
      <c r="AU81" s="12" t="str">
        <f t="shared" ref="AU81:AU205" si="177">IF(OR(H81="s1",H81="s2",H81="s3",H81="s4",H81="s4*",H81="s5",H81="s12",H81="s16"),IF(M81&gt;=4,M81,""),"")</f>
        <v/>
      </c>
      <c r="AV81" s="17"/>
      <c r="AX81" s="4"/>
    </row>
    <row r="82" spans="1:50" x14ac:dyDescent="0.25">
      <c r="A82" s="43" t="s">
        <v>275</v>
      </c>
      <c r="B82" s="52" t="s">
        <v>519</v>
      </c>
      <c r="C82" s="44"/>
      <c r="D82" s="43"/>
      <c r="E82" s="52" t="s">
        <v>533</v>
      </c>
      <c r="F82" s="46"/>
      <c r="G82" s="76" t="s">
        <v>496</v>
      </c>
      <c r="H82" s="48" t="s">
        <v>1092</v>
      </c>
      <c r="I82" s="48"/>
      <c r="J82" s="84" t="s">
        <v>1125</v>
      </c>
      <c r="K82" s="85"/>
      <c r="L82" s="47"/>
      <c r="M82" s="3">
        <f>1.12+0.18</f>
        <v>1.3</v>
      </c>
      <c r="N82" s="3">
        <f>3.1+0.2</f>
        <v>3.3000000000000003</v>
      </c>
      <c r="O82" s="22">
        <v>0.2</v>
      </c>
      <c r="P82" s="23">
        <v>1</v>
      </c>
      <c r="Q82" s="3"/>
      <c r="R82" s="3">
        <f>1.12*(2.265+0.2)</f>
        <v>2.7608000000000006</v>
      </c>
      <c r="S82" s="3"/>
      <c r="T82" s="3"/>
      <c r="U82" s="3"/>
      <c r="V82" s="23"/>
      <c r="W82" s="3"/>
      <c r="X82" s="3"/>
      <c r="Y82" s="17"/>
      <c r="Z82" s="17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12">
        <f t="shared" si="167"/>
        <v>1.5292000000000003</v>
      </c>
      <c r="AL82" s="12">
        <f t="shared" si="168"/>
        <v>1.5292000000000003</v>
      </c>
      <c r="AM82" s="12">
        <f t="shared" si="169"/>
        <v>0.30584000000000011</v>
      </c>
      <c r="AN82" s="12">
        <f t="shared" si="170"/>
        <v>0.30584000000000011</v>
      </c>
      <c r="AO82" s="12" t="str">
        <f t="shared" si="171"/>
        <v/>
      </c>
      <c r="AP82" s="12">
        <f t="shared" si="172"/>
        <v>1.3</v>
      </c>
      <c r="AQ82" s="12" t="str">
        <f t="shared" si="173"/>
        <v/>
      </c>
      <c r="AR82" s="12" t="str">
        <f t="shared" si="174"/>
        <v/>
      </c>
      <c r="AS82" s="12" t="str">
        <f t="shared" si="175"/>
        <v/>
      </c>
      <c r="AT82" s="12" t="str">
        <f t="shared" si="176"/>
        <v/>
      </c>
      <c r="AU82" s="12" t="str">
        <f t="shared" si="177"/>
        <v/>
      </c>
      <c r="AV82" s="17"/>
      <c r="AX82" s="4"/>
    </row>
    <row r="83" spans="1:50" x14ac:dyDescent="0.25">
      <c r="A83" s="43" t="s">
        <v>275</v>
      </c>
      <c r="B83" s="52" t="s">
        <v>519</v>
      </c>
      <c r="C83" s="44"/>
      <c r="D83" s="43"/>
      <c r="E83" s="52" t="s">
        <v>534</v>
      </c>
      <c r="F83" s="46"/>
      <c r="G83" s="76" t="s">
        <v>497</v>
      </c>
      <c r="H83" s="48" t="s">
        <v>1093</v>
      </c>
      <c r="I83" s="48"/>
      <c r="J83" s="84" t="s">
        <v>1125</v>
      </c>
      <c r="K83" s="85"/>
      <c r="L83" s="47"/>
      <c r="M83" s="3">
        <f>1.74+1.81-0.2</f>
        <v>3.3499999999999996</v>
      </c>
      <c r="N83" s="3">
        <f>3.1+0.2</f>
        <v>3.3000000000000003</v>
      </c>
      <c r="O83" s="22">
        <v>0.1</v>
      </c>
      <c r="P83" s="23">
        <v>1</v>
      </c>
      <c r="Q83" s="3"/>
      <c r="R83" s="3">
        <f>1.74*2.465</f>
        <v>4.2890999999999995</v>
      </c>
      <c r="S83" s="3"/>
      <c r="T83" s="3"/>
      <c r="U83" s="3"/>
      <c r="V83" s="23"/>
      <c r="W83" s="3"/>
      <c r="X83" s="3"/>
      <c r="Y83" s="17"/>
      <c r="Z83" s="17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12">
        <f t="shared" si="167"/>
        <v>6.7659000000000002</v>
      </c>
      <c r="AL83" s="12">
        <f t="shared" si="168"/>
        <v>6.7659000000000002</v>
      </c>
      <c r="AM83" s="12">
        <f t="shared" si="169"/>
        <v>0.67659000000000002</v>
      </c>
      <c r="AN83" s="12">
        <f t="shared" si="170"/>
        <v>0.67659000000000002</v>
      </c>
      <c r="AO83" s="12" t="str">
        <f t="shared" si="171"/>
        <v/>
      </c>
      <c r="AP83" s="12">
        <f t="shared" si="172"/>
        <v>3.3499999999999996</v>
      </c>
      <c r="AQ83" s="12" t="str">
        <f t="shared" si="173"/>
        <v/>
      </c>
      <c r="AR83" s="12" t="str">
        <f t="shared" si="174"/>
        <v/>
      </c>
      <c r="AS83" s="12" t="str">
        <f t="shared" si="175"/>
        <v/>
      </c>
      <c r="AT83" s="12" t="str">
        <f t="shared" si="176"/>
        <v/>
      </c>
      <c r="AU83" s="12" t="str">
        <f t="shared" si="177"/>
        <v/>
      </c>
      <c r="AV83" s="17"/>
      <c r="AX83" s="4"/>
    </row>
    <row r="84" spans="1:50" x14ac:dyDescent="0.25">
      <c r="A84" s="43" t="s">
        <v>275</v>
      </c>
      <c r="B84" s="52" t="s">
        <v>534</v>
      </c>
      <c r="C84" s="44"/>
      <c r="D84" s="43"/>
      <c r="E84" s="52" t="s">
        <v>535</v>
      </c>
      <c r="F84" s="46"/>
      <c r="G84" s="76" t="s">
        <v>498</v>
      </c>
      <c r="H84" s="48" t="s">
        <v>1093</v>
      </c>
      <c r="I84" s="48"/>
      <c r="J84" s="84" t="s">
        <v>1125</v>
      </c>
      <c r="K84" s="85"/>
      <c r="L84" s="47" t="s">
        <v>536</v>
      </c>
      <c r="M84" s="3">
        <v>1.3</v>
      </c>
      <c r="N84" s="3">
        <f>3.35+0.2</f>
        <v>3.5500000000000003</v>
      </c>
      <c r="O84" s="22">
        <v>0.1</v>
      </c>
      <c r="P84" s="23">
        <v>1</v>
      </c>
      <c r="Q84" s="3"/>
      <c r="R84" s="3">
        <f>0.9*2.75</f>
        <v>2.4750000000000001</v>
      </c>
      <c r="S84" s="3"/>
      <c r="T84" s="3"/>
      <c r="U84" s="3"/>
      <c r="V84" s="23"/>
      <c r="W84" s="3"/>
      <c r="X84" s="3"/>
      <c r="Y84" s="17"/>
      <c r="Z84" s="17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12">
        <f t="shared" si="167"/>
        <v>2.14</v>
      </c>
      <c r="AL84" s="12">
        <f t="shared" si="168"/>
        <v>2.14</v>
      </c>
      <c r="AM84" s="12">
        <f t="shared" si="169"/>
        <v>0.21400000000000002</v>
      </c>
      <c r="AN84" s="12">
        <f t="shared" si="170"/>
        <v>0.21400000000000002</v>
      </c>
      <c r="AO84" s="12" t="str">
        <f t="shared" si="171"/>
        <v/>
      </c>
      <c r="AP84" s="12">
        <f t="shared" si="172"/>
        <v>1.3</v>
      </c>
      <c r="AQ84" s="12" t="str">
        <f t="shared" si="173"/>
        <v/>
      </c>
      <c r="AR84" s="12" t="str">
        <f t="shared" si="174"/>
        <v/>
      </c>
      <c r="AS84" s="12" t="str">
        <f t="shared" si="175"/>
        <v/>
      </c>
      <c r="AT84" s="12" t="str">
        <f t="shared" si="176"/>
        <v/>
      </c>
      <c r="AU84" s="12" t="str">
        <f t="shared" si="177"/>
        <v/>
      </c>
      <c r="AV84" s="17"/>
      <c r="AX84" s="4"/>
    </row>
    <row r="85" spans="1:50" x14ac:dyDescent="0.25">
      <c r="A85" s="43" t="s">
        <v>275</v>
      </c>
      <c r="B85" s="52" t="s">
        <v>534</v>
      </c>
      <c r="C85" s="44"/>
      <c r="D85" s="43"/>
      <c r="E85" s="52" t="s">
        <v>535</v>
      </c>
      <c r="F85" s="46"/>
      <c r="G85" s="76" t="s">
        <v>499</v>
      </c>
      <c r="H85" s="48" t="s">
        <v>1093</v>
      </c>
      <c r="I85" s="48"/>
      <c r="J85" s="84" t="s">
        <v>1125</v>
      </c>
      <c r="K85" s="85"/>
      <c r="L85" s="47" t="s">
        <v>536</v>
      </c>
      <c r="M85" s="3">
        <v>3.64</v>
      </c>
      <c r="N85" s="3">
        <f>(1.766+3.55)/2</f>
        <v>2.6579999999999999</v>
      </c>
      <c r="O85" s="22">
        <v>0.1</v>
      </c>
      <c r="P85" s="23">
        <v>1</v>
      </c>
      <c r="Q85" s="3"/>
      <c r="R85" s="3"/>
      <c r="S85" s="3"/>
      <c r="T85" s="3"/>
      <c r="U85" s="3"/>
      <c r="V85" s="23"/>
      <c r="W85" s="3"/>
      <c r="X85" s="3"/>
      <c r="Y85" s="17"/>
      <c r="Z85" s="17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12">
        <f t="shared" si="167"/>
        <v>9.6751199999999997</v>
      </c>
      <c r="AL85" s="12">
        <f t="shared" si="168"/>
        <v>9.6751199999999997</v>
      </c>
      <c r="AM85" s="12">
        <f t="shared" si="169"/>
        <v>0.96751200000000004</v>
      </c>
      <c r="AN85" s="12">
        <f t="shared" si="170"/>
        <v>0.96751200000000004</v>
      </c>
      <c r="AO85" s="12" t="str">
        <f t="shared" si="171"/>
        <v/>
      </c>
      <c r="AP85" s="12">
        <f t="shared" si="172"/>
        <v>3.64</v>
      </c>
      <c r="AQ85" s="12" t="str">
        <f t="shared" si="173"/>
        <v/>
      </c>
      <c r="AR85" s="12" t="str">
        <f t="shared" si="174"/>
        <v/>
      </c>
      <c r="AS85" s="12" t="str">
        <f t="shared" si="175"/>
        <v/>
      </c>
      <c r="AT85" s="12" t="str">
        <f t="shared" si="176"/>
        <v/>
      </c>
      <c r="AU85" s="12" t="str">
        <f t="shared" si="177"/>
        <v/>
      </c>
      <c r="AV85" s="17"/>
      <c r="AX85" s="4"/>
    </row>
    <row r="86" spans="1:50" x14ac:dyDescent="0.25">
      <c r="A86" s="43" t="s">
        <v>275</v>
      </c>
      <c r="B86" s="52" t="s">
        <v>534</v>
      </c>
      <c r="C86" s="44"/>
      <c r="D86" s="43"/>
      <c r="E86" s="52" t="s">
        <v>535</v>
      </c>
      <c r="F86" s="46"/>
      <c r="G86" s="76" t="s">
        <v>500</v>
      </c>
      <c r="H86" s="48" t="s">
        <v>1093</v>
      </c>
      <c r="I86" s="48"/>
      <c r="J86" s="84" t="s">
        <v>1125</v>
      </c>
      <c r="K86" s="85"/>
      <c r="L86" s="47" t="s">
        <v>536</v>
      </c>
      <c r="M86" s="3">
        <v>1.84</v>
      </c>
      <c r="N86" s="3">
        <f>1.416+0.2</f>
        <v>1.6159999999999999</v>
      </c>
      <c r="O86" s="22">
        <v>0.1</v>
      </c>
      <c r="P86" s="23">
        <v>1</v>
      </c>
      <c r="Q86" s="3"/>
      <c r="R86" s="3"/>
      <c r="S86" s="3"/>
      <c r="T86" s="3"/>
      <c r="U86" s="3"/>
      <c r="V86" s="23"/>
      <c r="W86" s="3"/>
      <c r="X86" s="3"/>
      <c r="Y86" s="17"/>
      <c r="Z86" s="17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12">
        <f t="shared" si="167"/>
        <v>2.9734400000000001</v>
      </c>
      <c r="AL86" s="12">
        <f t="shared" si="168"/>
        <v>2.9734400000000001</v>
      </c>
      <c r="AM86" s="12">
        <f t="shared" si="169"/>
        <v>0.297344</v>
      </c>
      <c r="AN86" s="12">
        <f t="shared" si="170"/>
        <v>0.297344</v>
      </c>
      <c r="AO86" s="12" t="str">
        <f t="shared" si="171"/>
        <v/>
      </c>
      <c r="AP86" s="12">
        <f t="shared" si="172"/>
        <v>1.84</v>
      </c>
      <c r="AQ86" s="12" t="str">
        <f t="shared" si="173"/>
        <v/>
      </c>
      <c r="AR86" s="12" t="str">
        <f t="shared" si="174"/>
        <v/>
      </c>
      <c r="AS86" s="12" t="str">
        <f t="shared" si="175"/>
        <v/>
      </c>
      <c r="AT86" s="12" t="str">
        <f t="shared" si="176"/>
        <v/>
      </c>
      <c r="AU86" s="12" t="str">
        <f t="shared" si="177"/>
        <v/>
      </c>
      <c r="AV86" s="17"/>
      <c r="AX86" s="4"/>
    </row>
    <row r="87" spans="1:50" x14ac:dyDescent="0.25">
      <c r="A87" s="43" t="s">
        <v>275</v>
      </c>
      <c r="B87" s="52" t="s">
        <v>534</v>
      </c>
      <c r="C87" s="44"/>
      <c r="D87" s="43"/>
      <c r="E87" s="52"/>
      <c r="F87" s="46"/>
      <c r="G87" s="76" t="s">
        <v>501</v>
      </c>
      <c r="H87" s="48" t="s">
        <v>1090</v>
      </c>
      <c r="I87" s="48"/>
      <c r="J87" s="84" t="s">
        <v>1129</v>
      </c>
      <c r="K87" s="85"/>
      <c r="L87" s="47" t="s">
        <v>538</v>
      </c>
      <c r="M87" s="3">
        <f>2.19+0.35</f>
        <v>2.54</v>
      </c>
      <c r="N87" s="3">
        <f>1.416+0.2</f>
        <v>1.6159999999999999</v>
      </c>
      <c r="O87" s="22">
        <v>7.4999999999999997E-2</v>
      </c>
      <c r="P87" s="23">
        <v>1</v>
      </c>
      <c r="Q87" s="3"/>
      <c r="R87" s="3"/>
      <c r="S87" s="3"/>
      <c r="T87" s="3"/>
      <c r="U87" s="3"/>
      <c r="V87" s="23"/>
      <c r="W87" s="3"/>
      <c r="X87" s="3"/>
      <c r="Y87" s="17"/>
      <c r="Z87" s="17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12">
        <f t="shared" si="167"/>
        <v>4.1046399999999998</v>
      </c>
      <c r="AL87" s="12">
        <f t="shared" si="168"/>
        <v>4.1046399999999998</v>
      </c>
      <c r="AM87" s="12">
        <f t="shared" si="169"/>
        <v>0.30784799999999996</v>
      </c>
      <c r="AN87" s="12">
        <f t="shared" si="170"/>
        <v>0.30784799999999996</v>
      </c>
      <c r="AO87" s="12" t="str">
        <f t="shared" si="171"/>
        <v/>
      </c>
      <c r="AP87" s="12">
        <f t="shared" si="172"/>
        <v>2.54</v>
      </c>
      <c r="AQ87" s="12" t="str">
        <f t="shared" si="173"/>
        <v/>
      </c>
      <c r="AR87" s="12" t="str">
        <f t="shared" si="174"/>
        <v/>
      </c>
      <c r="AS87" s="12" t="str">
        <f t="shared" si="175"/>
        <v/>
      </c>
      <c r="AT87" s="12" t="str">
        <f t="shared" si="176"/>
        <v/>
      </c>
      <c r="AU87" s="12" t="str">
        <f t="shared" si="177"/>
        <v/>
      </c>
      <c r="AV87" s="17"/>
      <c r="AX87" s="4"/>
    </row>
    <row r="88" spans="1:50" x14ac:dyDescent="0.25">
      <c r="A88" s="43" t="s">
        <v>275</v>
      </c>
      <c r="B88" s="52" t="s">
        <v>537</v>
      </c>
      <c r="C88" s="44"/>
      <c r="D88" s="43"/>
      <c r="E88" s="52" t="s">
        <v>517</v>
      </c>
      <c r="F88" s="46"/>
      <c r="G88" s="76" t="s">
        <v>502</v>
      </c>
      <c r="H88" s="48" t="s">
        <v>1094</v>
      </c>
      <c r="I88" s="48"/>
      <c r="J88" s="84"/>
      <c r="K88" s="85"/>
      <c r="L88" s="47"/>
      <c r="M88" s="3">
        <f>3.055+1.3</f>
        <v>4.3550000000000004</v>
      </c>
      <c r="N88" s="3">
        <f>3.15+0.2</f>
        <v>3.35</v>
      </c>
      <c r="O88" s="22">
        <v>0.24</v>
      </c>
      <c r="P88" s="23">
        <v>1</v>
      </c>
      <c r="Q88" s="3"/>
      <c r="R88" s="3"/>
      <c r="S88" s="3"/>
      <c r="T88" s="3"/>
      <c r="U88" s="3"/>
      <c r="V88" s="23"/>
      <c r="W88" s="3"/>
      <c r="X88" s="3"/>
      <c r="Y88" s="17"/>
      <c r="Z88" s="17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12">
        <f t="shared" si="167"/>
        <v>14.589250000000002</v>
      </c>
      <c r="AL88" s="12">
        <f t="shared" si="168"/>
        <v>14.589250000000002</v>
      </c>
      <c r="AM88" s="12">
        <f t="shared" si="169"/>
        <v>3.5014200000000004</v>
      </c>
      <c r="AN88" s="12">
        <f t="shared" si="170"/>
        <v>3.5014200000000004</v>
      </c>
      <c r="AO88" s="12" t="str">
        <f t="shared" si="171"/>
        <v/>
      </c>
      <c r="AP88" s="12">
        <f t="shared" si="172"/>
        <v>4.3550000000000004</v>
      </c>
      <c r="AQ88" s="12" t="str">
        <f t="shared" si="173"/>
        <v/>
      </c>
      <c r="AR88" s="12" t="str">
        <f t="shared" si="174"/>
        <v/>
      </c>
      <c r="AS88" s="12" t="str">
        <f t="shared" si="175"/>
        <v/>
      </c>
      <c r="AT88" s="12" t="str">
        <f t="shared" si="176"/>
        <v/>
      </c>
      <c r="AU88" s="12" t="str">
        <f t="shared" si="177"/>
        <v/>
      </c>
      <c r="AV88" s="17"/>
      <c r="AX88" s="4"/>
    </row>
    <row r="89" spans="1:50" x14ac:dyDescent="0.25">
      <c r="A89" s="43" t="s">
        <v>275</v>
      </c>
      <c r="B89" s="52" t="s">
        <v>520</v>
      </c>
      <c r="C89" s="44"/>
      <c r="D89" s="43"/>
      <c r="E89" s="52"/>
      <c r="F89" s="46"/>
      <c r="G89" s="76" t="s">
        <v>503</v>
      </c>
      <c r="H89" s="48" t="s">
        <v>1090</v>
      </c>
      <c r="I89" s="48"/>
      <c r="J89" s="84" t="s">
        <v>1125</v>
      </c>
      <c r="K89" s="85"/>
      <c r="L89" s="47" t="s">
        <v>1175</v>
      </c>
      <c r="M89" s="3">
        <f>2.6-1.28</f>
        <v>1.32</v>
      </c>
      <c r="N89" s="3">
        <f>3.1+0.2</f>
        <v>3.3000000000000003</v>
      </c>
      <c r="O89" s="22">
        <v>0.1</v>
      </c>
      <c r="P89" s="23">
        <v>1</v>
      </c>
      <c r="Q89" s="3"/>
      <c r="R89" s="3"/>
      <c r="S89" s="3"/>
      <c r="T89" s="3"/>
      <c r="U89" s="3"/>
      <c r="V89" s="23"/>
      <c r="W89" s="3"/>
      <c r="X89" s="3"/>
      <c r="Y89" s="17"/>
      <c r="Z89" s="17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12">
        <f t="shared" si="167"/>
        <v>4.3560000000000008</v>
      </c>
      <c r="AL89" s="12">
        <f t="shared" si="168"/>
        <v>4.3560000000000008</v>
      </c>
      <c r="AM89" s="12">
        <f t="shared" si="169"/>
        <v>0.4356000000000001</v>
      </c>
      <c r="AN89" s="12">
        <f t="shared" si="170"/>
        <v>0.4356000000000001</v>
      </c>
      <c r="AO89" s="12" t="str">
        <f t="shared" si="171"/>
        <v/>
      </c>
      <c r="AP89" s="12">
        <f t="shared" si="172"/>
        <v>1.32</v>
      </c>
      <c r="AQ89" s="12" t="str">
        <f t="shared" si="173"/>
        <v/>
      </c>
      <c r="AR89" s="12" t="str">
        <f t="shared" si="174"/>
        <v/>
      </c>
      <c r="AS89" s="12" t="str">
        <f t="shared" si="175"/>
        <v/>
      </c>
      <c r="AT89" s="12" t="str">
        <f t="shared" si="176"/>
        <v/>
      </c>
      <c r="AU89" s="12" t="str">
        <f t="shared" si="177"/>
        <v/>
      </c>
      <c r="AV89" s="17"/>
      <c r="AX89" s="4"/>
    </row>
    <row r="90" spans="1:50" x14ac:dyDescent="0.25">
      <c r="A90" s="43" t="s">
        <v>275</v>
      </c>
      <c r="B90" s="52" t="s">
        <v>520</v>
      </c>
      <c r="C90" s="44"/>
      <c r="D90" s="43"/>
      <c r="E90" s="52"/>
      <c r="F90" s="46"/>
      <c r="G90" s="76" t="s">
        <v>504</v>
      </c>
      <c r="H90" s="48" t="s">
        <v>1091</v>
      </c>
      <c r="I90" s="48"/>
      <c r="J90" s="84" t="s">
        <v>1125</v>
      </c>
      <c r="K90" s="85"/>
      <c r="L90" s="47" t="s">
        <v>539</v>
      </c>
      <c r="M90" s="3">
        <f>1.096+0.92+8.11</f>
        <v>10.125999999999999</v>
      </c>
      <c r="N90" s="3">
        <f>3.1+0.2</f>
        <v>3.3000000000000003</v>
      </c>
      <c r="O90" s="22">
        <v>0.1</v>
      </c>
      <c r="P90" s="23">
        <v>1</v>
      </c>
      <c r="Q90" s="3"/>
      <c r="R90" s="3"/>
      <c r="S90" s="3"/>
      <c r="T90" s="3"/>
      <c r="U90" s="3"/>
      <c r="V90" s="23"/>
      <c r="W90" s="3"/>
      <c r="X90" s="3"/>
      <c r="Y90" s="17"/>
      <c r="Z90" s="17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12">
        <f t="shared" si="167"/>
        <v>33.415800000000004</v>
      </c>
      <c r="AL90" s="12">
        <f t="shared" si="168"/>
        <v>33.415800000000004</v>
      </c>
      <c r="AM90" s="12">
        <f t="shared" si="169"/>
        <v>3.3415800000000004</v>
      </c>
      <c r="AN90" s="12">
        <f t="shared" si="170"/>
        <v>3.3415800000000004</v>
      </c>
      <c r="AO90" s="12" t="str">
        <f t="shared" si="171"/>
        <v/>
      </c>
      <c r="AP90" s="12">
        <f t="shared" si="172"/>
        <v>10.125999999999999</v>
      </c>
      <c r="AQ90" s="12" t="str">
        <f t="shared" si="173"/>
        <v/>
      </c>
      <c r="AR90" s="12" t="str">
        <f t="shared" si="174"/>
        <v/>
      </c>
      <c r="AS90" s="12" t="str">
        <f t="shared" si="175"/>
        <v/>
      </c>
      <c r="AT90" s="12" t="str">
        <f t="shared" si="176"/>
        <v/>
      </c>
      <c r="AU90" s="12" t="str">
        <f t="shared" si="177"/>
        <v/>
      </c>
      <c r="AV90" s="17"/>
      <c r="AX90" s="4"/>
    </row>
    <row r="91" spans="1:50" x14ac:dyDescent="0.25">
      <c r="A91" s="43" t="s">
        <v>275</v>
      </c>
      <c r="B91" s="52" t="s">
        <v>520</v>
      </c>
      <c r="C91" s="44"/>
      <c r="D91" s="43"/>
      <c r="E91" s="52"/>
      <c r="F91" s="46"/>
      <c r="G91" s="76" t="s">
        <v>505</v>
      </c>
      <c r="H91" s="48" t="s">
        <v>1090</v>
      </c>
      <c r="I91" s="48"/>
      <c r="J91" s="84" t="s">
        <v>1125</v>
      </c>
      <c r="K91" s="85"/>
      <c r="L91" s="47" t="s">
        <v>1175</v>
      </c>
      <c r="M91" s="3">
        <f>1-0.4+0.25*3</f>
        <v>1.35</v>
      </c>
      <c r="N91" s="3">
        <f t="shared" ref="N91:N93" si="178">3.1+0.2</f>
        <v>3.3000000000000003</v>
      </c>
      <c r="O91" s="22">
        <v>0.1</v>
      </c>
      <c r="P91" s="23">
        <v>1</v>
      </c>
      <c r="Q91" s="3"/>
      <c r="R91" s="3"/>
      <c r="S91" s="3"/>
      <c r="T91" s="3"/>
      <c r="U91" s="3"/>
      <c r="V91" s="23"/>
      <c r="W91" s="3"/>
      <c r="X91" s="3"/>
      <c r="Y91" s="17"/>
      <c r="Z91" s="17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12">
        <f t="shared" si="167"/>
        <v>4.455000000000001</v>
      </c>
      <c r="AL91" s="12">
        <f t="shared" si="168"/>
        <v>4.455000000000001</v>
      </c>
      <c r="AM91" s="12">
        <f t="shared" si="169"/>
        <v>0.44550000000000012</v>
      </c>
      <c r="AN91" s="12">
        <f t="shared" si="170"/>
        <v>0.44550000000000012</v>
      </c>
      <c r="AO91" s="12" t="str">
        <f t="shared" si="171"/>
        <v/>
      </c>
      <c r="AP91" s="12">
        <f t="shared" si="172"/>
        <v>1.35</v>
      </c>
      <c r="AQ91" s="12" t="str">
        <f t="shared" si="173"/>
        <v/>
      </c>
      <c r="AR91" s="12" t="str">
        <f t="shared" si="174"/>
        <v/>
      </c>
      <c r="AS91" s="12" t="str">
        <f t="shared" si="175"/>
        <v/>
      </c>
      <c r="AT91" s="12" t="str">
        <f t="shared" si="176"/>
        <v/>
      </c>
      <c r="AU91" s="12" t="str">
        <f t="shared" si="177"/>
        <v/>
      </c>
      <c r="AV91" s="17"/>
      <c r="AX91" s="4"/>
    </row>
    <row r="92" spans="1:50" x14ac:dyDescent="0.25">
      <c r="A92" s="43" t="s">
        <v>275</v>
      </c>
      <c r="B92" s="52" t="s">
        <v>519</v>
      </c>
      <c r="C92" s="44"/>
      <c r="D92" s="43"/>
      <c r="E92" s="52"/>
      <c r="F92" s="46"/>
      <c r="G92" s="76" t="s">
        <v>506</v>
      </c>
      <c r="H92" s="48" t="s">
        <v>1090</v>
      </c>
      <c r="I92" s="48"/>
      <c r="J92" s="84" t="s">
        <v>1125</v>
      </c>
      <c r="K92" s="85"/>
      <c r="L92" s="47" t="s">
        <v>1175</v>
      </c>
      <c r="M92" s="3">
        <f>1.565+0.66+0.995+0.2*2</f>
        <v>3.62</v>
      </c>
      <c r="N92" s="3">
        <f t="shared" si="178"/>
        <v>3.3000000000000003</v>
      </c>
      <c r="O92" s="22">
        <v>0.1</v>
      </c>
      <c r="P92" s="23">
        <v>1</v>
      </c>
      <c r="Q92" s="3"/>
      <c r="R92" s="3"/>
      <c r="S92" s="3"/>
      <c r="T92" s="3"/>
      <c r="U92" s="3"/>
      <c r="V92" s="23"/>
      <c r="W92" s="3"/>
      <c r="X92" s="3"/>
      <c r="Y92" s="17"/>
      <c r="Z92" s="17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12">
        <f t="shared" si="167"/>
        <v>11.946000000000002</v>
      </c>
      <c r="AL92" s="12">
        <f t="shared" si="168"/>
        <v>11.946000000000002</v>
      </c>
      <c r="AM92" s="12">
        <f t="shared" si="169"/>
        <v>1.1946000000000001</v>
      </c>
      <c r="AN92" s="12">
        <f t="shared" si="170"/>
        <v>1.1946000000000001</v>
      </c>
      <c r="AO92" s="12" t="str">
        <f t="shared" si="171"/>
        <v/>
      </c>
      <c r="AP92" s="12">
        <f t="shared" si="172"/>
        <v>3.62</v>
      </c>
      <c r="AQ92" s="12" t="str">
        <f t="shared" si="173"/>
        <v/>
      </c>
      <c r="AR92" s="12" t="str">
        <f t="shared" si="174"/>
        <v/>
      </c>
      <c r="AS92" s="12" t="str">
        <f t="shared" si="175"/>
        <v/>
      </c>
      <c r="AT92" s="12" t="str">
        <f t="shared" si="176"/>
        <v/>
      </c>
      <c r="AU92" s="12" t="str">
        <f t="shared" si="177"/>
        <v/>
      </c>
      <c r="AV92" s="17"/>
      <c r="AX92" s="4"/>
    </row>
    <row r="93" spans="1:50" x14ac:dyDescent="0.25">
      <c r="A93" s="43" t="s">
        <v>275</v>
      </c>
      <c r="B93" s="52" t="s">
        <v>519</v>
      </c>
      <c r="C93" s="44"/>
      <c r="D93" s="43"/>
      <c r="E93" s="52"/>
      <c r="F93" s="46"/>
      <c r="G93" s="76" t="s">
        <v>507</v>
      </c>
      <c r="H93" s="48" t="s">
        <v>1090</v>
      </c>
      <c r="I93" s="48"/>
      <c r="J93" s="84" t="s">
        <v>1125</v>
      </c>
      <c r="K93" s="85"/>
      <c r="L93" s="47" t="s">
        <v>1175</v>
      </c>
      <c r="M93" s="3">
        <v>9.85</v>
      </c>
      <c r="N93" s="3">
        <f t="shared" si="178"/>
        <v>3.3000000000000003</v>
      </c>
      <c r="O93" s="22">
        <v>0.1</v>
      </c>
      <c r="P93" s="23">
        <v>1</v>
      </c>
      <c r="Q93" s="3"/>
      <c r="R93" s="3"/>
      <c r="S93" s="3"/>
      <c r="T93" s="3"/>
      <c r="U93" s="3"/>
      <c r="V93" s="23"/>
      <c r="W93" s="3"/>
      <c r="X93" s="3"/>
      <c r="Y93" s="17"/>
      <c r="Z93" s="17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12">
        <f t="shared" si="167"/>
        <v>32.505000000000003</v>
      </c>
      <c r="AL93" s="12">
        <f t="shared" si="168"/>
        <v>32.505000000000003</v>
      </c>
      <c r="AM93" s="12">
        <f t="shared" si="169"/>
        <v>3.2505000000000006</v>
      </c>
      <c r="AN93" s="12">
        <f t="shared" si="170"/>
        <v>3.2505000000000006</v>
      </c>
      <c r="AO93" s="12" t="str">
        <f t="shared" si="171"/>
        <v/>
      </c>
      <c r="AP93" s="12">
        <f t="shared" si="172"/>
        <v>9.85</v>
      </c>
      <c r="AQ93" s="12" t="str">
        <f t="shared" si="173"/>
        <v/>
      </c>
      <c r="AR93" s="12" t="str">
        <f t="shared" si="174"/>
        <v/>
      </c>
      <c r="AS93" s="12" t="str">
        <f t="shared" si="175"/>
        <v/>
      </c>
      <c r="AT93" s="12" t="str">
        <f t="shared" si="176"/>
        <v/>
      </c>
      <c r="AU93" s="12" t="str">
        <f t="shared" si="177"/>
        <v/>
      </c>
      <c r="AV93" s="17"/>
      <c r="AX93" s="4"/>
    </row>
    <row r="94" spans="1:50" x14ac:dyDescent="0.25">
      <c r="A94" s="43" t="s">
        <v>275</v>
      </c>
      <c r="B94" s="52" t="s">
        <v>521</v>
      </c>
      <c r="C94" s="44"/>
      <c r="D94" s="43"/>
      <c r="E94" s="52" t="s">
        <v>540</v>
      </c>
      <c r="F94" s="46"/>
      <c r="G94" s="76" t="s">
        <v>508</v>
      </c>
      <c r="H94" s="48" t="s">
        <v>1093</v>
      </c>
      <c r="I94" s="48"/>
      <c r="J94" s="84" t="s">
        <v>1125</v>
      </c>
      <c r="K94" s="85"/>
      <c r="L94" s="47"/>
      <c r="M94" s="3">
        <v>0.4</v>
      </c>
      <c r="N94" s="3">
        <f>3.35+0.2</f>
        <v>3.5500000000000003</v>
      </c>
      <c r="O94" s="22">
        <v>0.1</v>
      </c>
      <c r="P94" s="23">
        <v>1</v>
      </c>
      <c r="Q94" s="3"/>
      <c r="R94" s="3"/>
      <c r="S94" s="3"/>
      <c r="T94" s="3"/>
      <c r="U94" s="3"/>
      <c r="V94" s="23"/>
      <c r="W94" s="3"/>
      <c r="X94" s="3"/>
      <c r="Y94" s="17"/>
      <c r="Z94" s="17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12">
        <f t="shared" si="167"/>
        <v>1.4200000000000002</v>
      </c>
      <c r="AL94" s="12">
        <f t="shared" si="168"/>
        <v>1.4200000000000002</v>
      </c>
      <c r="AM94" s="12">
        <f t="shared" si="169"/>
        <v>0.14200000000000002</v>
      </c>
      <c r="AN94" s="12">
        <f t="shared" si="170"/>
        <v>0.14200000000000002</v>
      </c>
      <c r="AO94" s="12" t="str">
        <f t="shared" si="171"/>
        <v/>
      </c>
      <c r="AP94" s="12">
        <f t="shared" si="172"/>
        <v>0.4</v>
      </c>
      <c r="AQ94" s="12" t="str">
        <f t="shared" si="173"/>
        <v/>
      </c>
      <c r="AR94" s="12" t="str">
        <f t="shared" si="174"/>
        <v/>
      </c>
      <c r="AS94" s="12" t="str">
        <f t="shared" si="175"/>
        <v/>
      </c>
      <c r="AT94" s="12" t="str">
        <f t="shared" si="176"/>
        <v/>
      </c>
      <c r="AU94" s="12" t="str">
        <f t="shared" si="177"/>
        <v/>
      </c>
      <c r="AV94" s="17"/>
      <c r="AX94" s="4"/>
    </row>
    <row r="95" spans="1:50" x14ac:dyDescent="0.25">
      <c r="A95" s="43" t="s">
        <v>275</v>
      </c>
      <c r="B95" s="52" t="s">
        <v>521</v>
      </c>
      <c r="C95" s="44"/>
      <c r="D95" s="43"/>
      <c r="E95" s="52" t="s">
        <v>519</v>
      </c>
      <c r="F95" s="46"/>
      <c r="G95" s="76" t="s">
        <v>509</v>
      </c>
      <c r="H95" s="48"/>
      <c r="I95" s="48"/>
      <c r="J95" s="84"/>
      <c r="K95" s="85"/>
      <c r="L95" s="47"/>
      <c r="M95" s="3">
        <v>0.2</v>
      </c>
      <c r="N95" s="3">
        <v>2.4500000000000002</v>
      </c>
      <c r="O95" s="22">
        <v>2.5000000000000001E-2</v>
      </c>
      <c r="P95" s="23">
        <v>2</v>
      </c>
      <c r="Q95" s="3"/>
      <c r="R95" s="3"/>
      <c r="S95" s="3"/>
      <c r="T95" s="3"/>
      <c r="U95" s="3"/>
      <c r="V95" s="23"/>
      <c r="W95" s="3"/>
      <c r="X95" s="3"/>
      <c r="Y95" s="17"/>
      <c r="Z95" s="17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12">
        <f t="shared" si="167"/>
        <v>0.49000000000000005</v>
      </c>
      <c r="AL95" s="12">
        <f t="shared" si="168"/>
        <v>0.98000000000000009</v>
      </c>
      <c r="AM95" s="12">
        <f t="shared" si="169"/>
        <v>1.2250000000000002E-2</v>
      </c>
      <c r="AN95" s="12">
        <f t="shared" si="170"/>
        <v>2.4500000000000004E-2</v>
      </c>
      <c r="AO95" s="12" t="str">
        <f t="shared" si="171"/>
        <v/>
      </c>
      <c r="AP95" s="12">
        <f t="shared" si="172"/>
        <v>0.4</v>
      </c>
      <c r="AQ95" s="12" t="str">
        <f t="shared" si="173"/>
        <v/>
      </c>
      <c r="AR95" s="12" t="str">
        <f t="shared" si="174"/>
        <v/>
      </c>
      <c r="AS95" s="12" t="str">
        <f t="shared" si="175"/>
        <v/>
      </c>
      <c r="AT95" s="12" t="str">
        <f t="shared" si="176"/>
        <v/>
      </c>
      <c r="AU95" s="12" t="str">
        <f t="shared" si="177"/>
        <v/>
      </c>
      <c r="AV95" s="17"/>
      <c r="AX95" s="4"/>
    </row>
    <row r="96" spans="1:50" x14ac:dyDescent="0.25">
      <c r="A96" s="43" t="s">
        <v>275</v>
      </c>
      <c r="B96" s="52" t="s">
        <v>521</v>
      </c>
      <c r="C96" s="44"/>
      <c r="D96" s="43"/>
      <c r="E96" s="52" t="s">
        <v>557</v>
      </c>
      <c r="F96" s="46"/>
      <c r="G96" s="76" t="s">
        <v>510</v>
      </c>
      <c r="H96" s="48" t="s">
        <v>1093</v>
      </c>
      <c r="I96" s="48"/>
      <c r="J96" s="84" t="s">
        <v>1125</v>
      </c>
      <c r="K96" s="85"/>
      <c r="L96" s="47" t="s">
        <v>541</v>
      </c>
      <c r="M96" s="3">
        <f>22.45-M97</f>
        <v>20.95</v>
      </c>
      <c r="N96" s="3">
        <f>3.35+0.2</f>
        <v>3.5500000000000003</v>
      </c>
      <c r="O96" s="22">
        <v>0.1</v>
      </c>
      <c r="P96" s="23">
        <v>1</v>
      </c>
      <c r="Q96" s="3">
        <f>0.6*1.7*4</f>
        <v>4.08</v>
      </c>
      <c r="R96" s="3">
        <f>0.9*2.25*4</f>
        <v>8.1</v>
      </c>
      <c r="S96" s="3"/>
      <c r="T96" s="3"/>
      <c r="U96" s="3"/>
      <c r="V96" s="23"/>
      <c r="W96" s="3"/>
      <c r="X96" s="3"/>
      <c r="Y96" s="17"/>
      <c r="Z96" s="17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12">
        <f t="shared" si="167"/>
        <v>62.192500000000003</v>
      </c>
      <c r="AL96" s="12">
        <f t="shared" si="168"/>
        <v>62.192500000000003</v>
      </c>
      <c r="AM96" s="12">
        <f t="shared" si="169"/>
        <v>6.2192500000000006</v>
      </c>
      <c r="AN96" s="12">
        <f t="shared" si="170"/>
        <v>6.2192500000000006</v>
      </c>
      <c r="AO96" s="12" t="str">
        <f t="shared" si="171"/>
        <v/>
      </c>
      <c r="AP96" s="12">
        <f t="shared" si="172"/>
        <v>20.95</v>
      </c>
      <c r="AQ96" s="12" t="str">
        <f t="shared" si="173"/>
        <v/>
      </c>
      <c r="AR96" s="12" t="str">
        <f t="shared" si="174"/>
        <v/>
      </c>
      <c r="AS96" s="12" t="str">
        <f t="shared" si="175"/>
        <v/>
      </c>
      <c r="AT96" s="12" t="str">
        <f t="shared" si="176"/>
        <v/>
      </c>
      <c r="AU96" s="12" t="str">
        <f t="shared" si="177"/>
        <v/>
      </c>
      <c r="AV96" s="17"/>
      <c r="AX96" s="4"/>
    </row>
    <row r="97" spans="1:50" x14ac:dyDescent="0.25">
      <c r="A97" s="43" t="s">
        <v>275</v>
      </c>
      <c r="B97" s="52" t="s">
        <v>521</v>
      </c>
      <c r="C97" s="44"/>
      <c r="D97" s="43"/>
      <c r="E97" s="52"/>
      <c r="F97" s="46"/>
      <c r="G97" s="76" t="s">
        <v>1053</v>
      </c>
      <c r="H97" s="48" t="s">
        <v>1093</v>
      </c>
      <c r="I97" s="48"/>
      <c r="J97" s="84" t="s">
        <v>1125</v>
      </c>
      <c r="K97" s="85"/>
      <c r="L97" s="47" t="s">
        <v>541</v>
      </c>
      <c r="M97" s="3">
        <f>0.15+1.35</f>
        <v>1.5</v>
      </c>
      <c r="N97" s="3">
        <f>3.35+0.2</f>
        <v>3.5500000000000003</v>
      </c>
      <c r="O97" s="22">
        <v>0.1</v>
      </c>
      <c r="P97" s="23">
        <v>1</v>
      </c>
      <c r="Q97" s="3"/>
      <c r="R97" s="3">
        <f>1*2.25</f>
        <v>2.25</v>
      </c>
      <c r="S97" s="3"/>
      <c r="T97" s="3"/>
      <c r="U97" s="3"/>
      <c r="V97" s="23"/>
      <c r="W97" s="3"/>
      <c r="X97" s="3"/>
      <c r="Y97" s="17"/>
      <c r="Z97" s="17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12">
        <f t="shared" ref="AK97" si="179">IF(((M97*N97)-Q97-R97-S97+T97+U97)=0,"",((M97*N97)-Q97-R97-S97+T97+U97))</f>
        <v>3.0750000000000002</v>
      </c>
      <c r="AL97" s="12">
        <f t="shared" ref="AL97" si="180">IF(PRODUCT(P97,AK97)=0,"",P97*AK97)</f>
        <v>3.0750000000000002</v>
      </c>
      <c r="AM97" s="12">
        <f t="shared" ref="AM97" si="181">IF(PRODUCT(AK97,O97)=0,"",AK97*O97)</f>
        <v>0.30750000000000005</v>
      </c>
      <c r="AN97" s="12">
        <f t="shared" ref="AN97" si="182">IF(PRODUCT(AM97,P97)=0,"",AM97*P97)</f>
        <v>0.30750000000000005</v>
      </c>
      <c r="AO97" s="12" t="str">
        <f t="shared" ref="AO97" si="183">IF(N97*V97-W97+X97=0,"",N97*V97-W97+X97)</f>
        <v/>
      </c>
      <c r="AP97" s="12">
        <f t="shared" ref="AP97" si="184">IF(PRODUCT(M97,P97)=0,"",M97*P97)</f>
        <v>1.5</v>
      </c>
      <c r="AQ97" s="12" t="str">
        <f t="shared" ref="AQ97" si="185">IF(AA97+AB97=0,"",AA97+AB97)</f>
        <v/>
      </c>
      <c r="AR97" s="12" t="str">
        <f t="shared" ref="AR97" si="186">IF(AC97+AD97=0,"",AC97+AD97)</f>
        <v/>
      </c>
      <c r="AS97" s="12" t="str">
        <f t="shared" ref="AS97" si="187">IF((AE97*AH97*AI97)*P97=0,"",(AE97*AH97*AI97)*P97)</f>
        <v/>
      </c>
      <c r="AT97" s="12" t="str">
        <f t="shared" ref="AT97" si="188">IF(AJ97*P97=0,"",AJ97*P97)</f>
        <v/>
      </c>
      <c r="AU97" s="12" t="str">
        <f t="shared" ref="AU97" si="189">IF(OR(H97="s1",H97="s2",H97="s3",H97="s4",H97="s4*",H97="s5",H97="s12",H97="s16"),IF(M97&gt;=4,M97,""),"")</f>
        <v/>
      </c>
      <c r="AV97" s="17"/>
      <c r="AX97" s="4"/>
    </row>
    <row r="98" spans="1:50" x14ac:dyDescent="0.25">
      <c r="A98" s="43" t="s">
        <v>275</v>
      </c>
      <c r="B98" s="52" t="s">
        <v>521</v>
      </c>
      <c r="C98" s="44"/>
      <c r="D98" s="43"/>
      <c r="E98" s="52"/>
      <c r="F98" s="46"/>
      <c r="G98" s="76" t="s">
        <v>511</v>
      </c>
      <c r="H98" s="48"/>
      <c r="I98" s="48"/>
      <c r="J98" s="84" t="s">
        <v>1125</v>
      </c>
      <c r="K98" s="85"/>
      <c r="L98" s="47" t="s">
        <v>541</v>
      </c>
      <c r="M98" s="3">
        <v>0.2</v>
      </c>
      <c r="N98" s="3">
        <f t="shared" ref="N98:N171" si="190">3.35+0.2</f>
        <v>3.5500000000000003</v>
      </c>
      <c r="O98" s="22">
        <v>2.5000000000000001E-2</v>
      </c>
      <c r="P98" s="23">
        <v>2</v>
      </c>
      <c r="Q98" s="3"/>
      <c r="R98" s="3"/>
      <c r="S98" s="3"/>
      <c r="T98" s="3"/>
      <c r="U98" s="3"/>
      <c r="V98" s="23"/>
      <c r="W98" s="3"/>
      <c r="X98" s="3"/>
      <c r="Y98" s="17"/>
      <c r="Z98" s="17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12">
        <f t="shared" si="167"/>
        <v>0.71000000000000008</v>
      </c>
      <c r="AL98" s="12">
        <f t="shared" si="168"/>
        <v>1.4200000000000002</v>
      </c>
      <c r="AM98" s="12">
        <f t="shared" si="169"/>
        <v>1.7750000000000002E-2</v>
      </c>
      <c r="AN98" s="12">
        <f t="shared" si="170"/>
        <v>3.5500000000000004E-2</v>
      </c>
      <c r="AO98" s="12" t="str">
        <f t="shared" si="171"/>
        <v/>
      </c>
      <c r="AP98" s="12">
        <f t="shared" si="172"/>
        <v>0.4</v>
      </c>
      <c r="AQ98" s="12" t="str">
        <f t="shared" si="173"/>
        <v/>
      </c>
      <c r="AR98" s="12" t="str">
        <f t="shared" si="174"/>
        <v/>
      </c>
      <c r="AS98" s="12" t="str">
        <f t="shared" si="175"/>
        <v/>
      </c>
      <c r="AT98" s="12" t="str">
        <f t="shared" si="176"/>
        <v/>
      </c>
      <c r="AU98" s="12" t="str">
        <f t="shared" si="177"/>
        <v/>
      </c>
      <c r="AV98" s="17"/>
      <c r="AX98" s="4"/>
    </row>
    <row r="99" spans="1:50" x14ac:dyDescent="0.25">
      <c r="A99" s="43" t="s">
        <v>275</v>
      </c>
      <c r="B99" s="52" t="s">
        <v>858</v>
      </c>
      <c r="C99" s="44"/>
      <c r="D99" s="43"/>
      <c r="E99" s="52"/>
      <c r="F99" s="46"/>
      <c r="G99" s="76" t="s">
        <v>1052</v>
      </c>
      <c r="H99" s="48" t="s">
        <v>1090</v>
      </c>
      <c r="I99" s="48"/>
      <c r="J99" s="84" t="s">
        <v>1125</v>
      </c>
      <c r="K99" s="85"/>
      <c r="L99" s="47" t="s">
        <v>517</v>
      </c>
      <c r="M99" s="3">
        <f>1.815+0.2</f>
        <v>2.0150000000000001</v>
      </c>
      <c r="N99" s="3">
        <f t="shared" si="190"/>
        <v>3.5500000000000003</v>
      </c>
      <c r="O99" s="22">
        <v>0.2</v>
      </c>
      <c r="P99" s="23">
        <v>1</v>
      </c>
      <c r="Q99" s="3"/>
      <c r="R99" s="3"/>
      <c r="S99" s="3"/>
      <c r="T99" s="3"/>
      <c r="U99" s="3"/>
      <c r="V99" s="23"/>
      <c r="W99" s="3"/>
      <c r="X99" s="3"/>
      <c r="Y99" s="17"/>
      <c r="Z99" s="17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12">
        <f t="shared" ref="AK99" si="191">IF(((M99*N99)-Q99-R99-S99+T99+U99)=0,"",((M99*N99)-Q99-R99-S99+T99+U99))</f>
        <v>7.1532500000000008</v>
      </c>
      <c r="AL99" s="12">
        <f t="shared" ref="AL99" si="192">IF(PRODUCT(P99,AK99)=0,"",P99*AK99)</f>
        <v>7.1532500000000008</v>
      </c>
      <c r="AM99" s="12">
        <f t="shared" ref="AM99" si="193">IF(PRODUCT(AK99,O99)=0,"",AK99*O99)</f>
        <v>1.4306500000000002</v>
      </c>
      <c r="AN99" s="12">
        <f t="shared" ref="AN99" si="194">IF(PRODUCT(AM99,P99)=0,"",AM99*P99)</f>
        <v>1.4306500000000002</v>
      </c>
      <c r="AO99" s="12" t="str">
        <f t="shared" ref="AO99" si="195">IF(N99*V99-W99+X99=0,"",N99*V99-W99+X99)</f>
        <v/>
      </c>
      <c r="AP99" s="12">
        <f t="shared" ref="AP99" si="196">IF(PRODUCT(M99,P99)=0,"",M99*P99)</f>
        <v>2.0150000000000001</v>
      </c>
      <c r="AQ99" s="12" t="str">
        <f t="shared" ref="AQ99" si="197">IF(AA99+AB99=0,"",AA99+AB99)</f>
        <v/>
      </c>
      <c r="AR99" s="12" t="str">
        <f t="shared" ref="AR99" si="198">IF(AC99+AD99=0,"",AC99+AD99)</f>
        <v/>
      </c>
      <c r="AS99" s="12" t="str">
        <f t="shared" ref="AS99" si="199">IF((AE99*AH99*AI99)*P99=0,"",(AE99*AH99*AI99)*P99)</f>
        <v/>
      </c>
      <c r="AT99" s="12" t="str">
        <f t="shared" ref="AT99" si="200">IF(AJ99*P99=0,"",AJ99*P99)</f>
        <v/>
      </c>
      <c r="AU99" s="12" t="str">
        <f t="shared" ref="AU99" si="201">IF(OR(H99="s1",H99="s2",H99="s3",H99="s4",H99="s4*",H99="s5",H99="s12",H99="s16"),IF(M99&gt;=4,M99,""),"")</f>
        <v/>
      </c>
      <c r="AV99" s="17"/>
      <c r="AX99" s="4"/>
    </row>
    <row r="100" spans="1:50" x14ac:dyDescent="0.25">
      <c r="A100" s="43" t="s">
        <v>275</v>
      </c>
      <c r="B100" s="52" t="s">
        <v>521</v>
      </c>
      <c r="C100" s="44"/>
      <c r="D100" s="43"/>
      <c r="E100" s="52" t="s">
        <v>531</v>
      </c>
      <c r="F100" s="46"/>
      <c r="G100" s="76" t="s">
        <v>512</v>
      </c>
      <c r="H100" s="48" t="s">
        <v>1092</v>
      </c>
      <c r="I100" s="48"/>
      <c r="J100" s="84" t="s">
        <v>1125</v>
      </c>
      <c r="K100" s="85"/>
      <c r="L100" s="47" t="s">
        <v>541</v>
      </c>
      <c r="M100" s="3">
        <v>1.5</v>
      </c>
      <c r="N100" s="3">
        <f t="shared" si="190"/>
        <v>3.5500000000000003</v>
      </c>
      <c r="O100" s="22">
        <v>0.2</v>
      </c>
      <c r="P100" s="23">
        <v>1</v>
      </c>
      <c r="Q100" s="3">
        <f>0.6*1.7</f>
        <v>1.02</v>
      </c>
      <c r="R100" s="3">
        <f>0.9*2.25</f>
        <v>2.0249999999999999</v>
      </c>
      <c r="S100" s="3"/>
      <c r="T100" s="3"/>
      <c r="U100" s="3"/>
      <c r="V100" s="23"/>
      <c r="W100" s="3"/>
      <c r="X100" s="3"/>
      <c r="Y100" s="17"/>
      <c r="Z100" s="17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12">
        <f t="shared" si="167"/>
        <v>2.2799999999999998</v>
      </c>
      <c r="AL100" s="12">
        <f t="shared" si="168"/>
        <v>2.2799999999999998</v>
      </c>
      <c r="AM100" s="12">
        <f t="shared" si="169"/>
        <v>0.45599999999999996</v>
      </c>
      <c r="AN100" s="12">
        <f t="shared" si="170"/>
        <v>0.45599999999999996</v>
      </c>
      <c r="AO100" s="12" t="str">
        <f t="shared" si="171"/>
        <v/>
      </c>
      <c r="AP100" s="12">
        <f t="shared" si="172"/>
        <v>1.5</v>
      </c>
      <c r="AQ100" s="12" t="str">
        <f t="shared" si="173"/>
        <v/>
      </c>
      <c r="AR100" s="12" t="str">
        <f t="shared" si="174"/>
        <v/>
      </c>
      <c r="AS100" s="12" t="str">
        <f t="shared" si="175"/>
        <v/>
      </c>
      <c r="AT100" s="12" t="str">
        <f t="shared" si="176"/>
        <v/>
      </c>
      <c r="AU100" s="12" t="str">
        <f t="shared" si="177"/>
        <v/>
      </c>
      <c r="AV100" s="17"/>
      <c r="AX100" s="4"/>
    </row>
    <row r="101" spans="1:50" x14ac:dyDescent="0.25">
      <c r="A101" s="43" t="s">
        <v>275</v>
      </c>
      <c r="B101" s="52" t="s">
        <v>521</v>
      </c>
      <c r="C101" s="44"/>
      <c r="D101" s="43"/>
      <c r="E101" s="52" t="s">
        <v>531</v>
      </c>
      <c r="F101" s="46"/>
      <c r="G101" s="76" t="s">
        <v>513</v>
      </c>
      <c r="H101" s="48" t="s">
        <v>1093</v>
      </c>
      <c r="I101" s="48"/>
      <c r="J101" s="84" t="s">
        <v>1125</v>
      </c>
      <c r="K101" s="85"/>
      <c r="L101" s="47"/>
      <c r="M101" s="3">
        <v>0.7</v>
      </c>
      <c r="N101" s="3">
        <f t="shared" si="190"/>
        <v>3.5500000000000003</v>
      </c>
      <c r="O101" s="22">
        <v>0.1</v>
      </c>
      <c r="P101" s="23">
        <v>1</v>
      </c>
      <c r="Q101" s="3"/>
      <c r="R101" s="3"/>
      <c r="S101" s="3"/>
      <c r="T101" s="3"/>
      <c r="U101" s="3"/>
      <c r="V101" s="23"/>
      <c r="W101" s="3"/>
      <c r="X101" s="3"/>
      <c r="Y101" s="17"/>
      <c r="Z101" s="17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12">
        <f t="shared" si="167"/>
        <v>2.4849999999999999</v>
      </c>
      <c r="AL101" s="12">
        <f t="shared" si="168"/>
        <v>2.4849999999999999</v>
      </c>
      <c r="AM101" s="12">
        <f t="shared" si="169"/>
        <v>0.2485</v>
      </c>
      <c r="AN101" s="12">
        <f t="shared" si="170"/>
        <v>0.2485</v>
      </c>
      <c r="AO101" s="12" t="str">
        <f t="shared" si="171"/>
        <v/>
      </c>
      <c r="AP101" s="12">
        <f t="shared" si="172"/>
        <v>0.7</v>
      </c>
      <c r="AQ101" s="12" t="str">
        <f t="shared" si="173"/>
        <v/>
      </c>
      <c r="AR101" s="12" t="str">
        <f t="shared" si="174"/>
        <v/>
      </c>
      <c r="AS101" s="12" t="str">
        <f t="shared" si="175"/>
        <v/>
      </c>
      <c r="AT101" s="12" t="str">
        <f t="shared" si="176"/>
        <v/>
      </c>
      <c r="AU101" s="12" t="str">
        <f t="shared" si="177"/>
        <v/>
      </c>
      <c r="AV101" s="17"/>
      <c r="AX101" s="4"/>
    </row>
    <row r="102" spans="1:50" x14ac:dyDescent="0.25">
      <c r="A102" s="43" t="s">
        <v>275</v>
      </c>
      <c r="B102" s="52" t="s">
        <v>521</v>
      </c>
      <c r="C102" s="44"/>
      <c r="D102" s="43"/>
      <c r="E102" s="52" t="s">
        <v>558</v>
      </c>
      <c r="F102" s="46"/>
      <c r="G102" s="76" t="s">
        <v>514</v>
      </c>
      <c r="H102" s="48" t="s">
        <v>1093</v>
      </c>
      <c r="I102" s="48"/>
      <c r="J102" s="84" t="s">
        <v>1125</v>
      </c>
      <c r="K102" s="85"/>
      <c r="L102" s="47" t="s">
        <v>541</v>
      </c>
      <c r="M102" s="3">
        <f>12.2+0.2</f>
        <v>12.399999999999999</v>
      </c>
      <c r="N102" s="3">
        <f t="shared" si="190"/>
        <v>3.5500000000000003</v>
      </c>
      <c r="O102" s="22">
        <v>0.1</v>
      </c>
      <c r="P102" s="23">
        <v>1</v>
      </c>
      <c r="Q102" s="3"/>
      <c r="R102" s="3">
        <f>1.4*2.25+0.9*2.25*2+1.1*2.25</f>
        <v>9.6749999999999989</v>
      </c>
      <c r="S102" s="3"/>
      <c r="T102" s="3"/>
      <c r="U102" s="3"/>
      <c r="V102" s="23"/>
      <c r="W102" s="3"/>
      <c r="X102" s="3"/>
      <c r="Y102" s="17"/>
      <c r="Z102" s="17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12">
        <f t="shared" si="167"/>
        <v>34.344999999999999</v>
      </c>
      <c r="AL102" s="12">
        <f t="shared" si="168"/>
        <v>34.344999999999999</v>
      </c>
      <c r="AM102" s="12">
        <f t="shared" si="169"/>
        <v>3.4344999999999999</v>
      </c>
      <c r="AN102" s="12">
        <f t="shared" si="170"/>
        <v>3.4344999999999999</v>
      </c>
      <c r="AO102" s="12" t="str">
        <f t="shared" si="171"/>
        <v/>
      </c>
      <c r="AP102" s="12">
        <f t="shared" si="172"/>
        <v>12.399999999999999</v>
      </c>
      <c r="AQ102" s="12" t="str">
        <f t="shared" si="173"/>
        <v/>
      </c>
      <c r="AR102" s="12" t="str">
        <f t="shared" si="174"/>
        <v/>
      </c>
      <c r="AS102" s="12" t="str">
        <f t="shared" si="175"/>
        <v/>
      </c>
      <c r="AT102" s="12" t="str">
        <f t="shared" si="176"/>
        <v/>
      </c>
      <c r="AU102" s="12" t="str">
        <f t="shared" si="177"/>
        <v/>
      </c>
      <c r="AV102" s="17"/>
      <c r="AX102" s="4"/>
    </row>
    <row r="103" spans="1:50" x14ac:dyDescent="0.25">
      <c r="A103" s="43" t="s">
        <v>275</v>
      </c>
      <c r="B103" s="52" t="s">
        <v>521</v>
      </c>
      <c r="C103" s="44"/>
      <c r="D103" s="43"/>
      <c r="E103" s="52" t="s">
        <v>559</v>
      </c>
      <c r="F103" s="46"/>
      <c r="G103" s="76" t="s">
        <v>515</v>
      </c>
      <c r="H103" s="48" t="s">
        <v>1093</v>
      </c>
      <c r="I103" s="48"/>
      <c r="J103" s="84" t="s">
        <v>1132</v>
      </c>
      <c r="K103" s="85"/>
      <c r="L103" s="47" t="s">
        <v>541</v>
      </c>
      <c r="M103" s="3">
        <v>5.0599999999999996</v>
      </c>
      <c r="N103" s="3">
        <f t="shared" si="190"/>
        <v>3.5500000000000003</v>
      </c>
      <c r="O103" s="22">
        <v>0.1</v>
      </c>
      <c r="P103" s="23">
        <v>1</v>
      </c>
      <c r="Q103" s="3"/>
      <c r="R103" s="3">
        <f>0.9*2.25+0.8*2.25+1*2.25</f>
        <v>6.0750000000000002</v>
      </c>
      <c r="S103" s="3"/>
      <c r="T103" s="3"/>
      <c r="U103" s="3"/>
      <c r="V103" s="23"/>
      <c r="W103" s="3"/>
      <c r="X103" s="3"/>
      <c r="Y103" s="17"/>
      <c r="Z103" s="17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12">
        <f t="shared" si="167"/>
        <v>11.888000000000002</v>
      </c>
      <c r="AL103" s="12">
        <f t="shared" si="168"/>
        <v>11.888000000000002</v>
      </c>
      <c r="AM103" s="12">
        <f t="shared" si="169"/>
        <v>1.1888000000000003</v>
      </c>
      <c r="AN103" s="12">
        <f t="shared" si="170"/>
        <v>1.1888000000000003</v>
      </c>
      <c r="AO103" s="12" t="str">
        <f t="shared" si="171"/>
        <v/>
      </c>
      <c r="AP103" s="12">
        <f t="shared" si="172"/>
        <v>5.0599999999999996</v>
      </c>
      <c r="AQ103" s="12" t="str">
        <f t="shared" si="173"/>
        <v/>
      </c>
      <c r="AR103" s="12" t="str">
        <f t="shared" si="174"/>
        <v/>
      </c>
      <c r="AS103" s="12" t="str">
        <f t="shared" si="175"/>
        <v/>
      </c>
      <c r="AT103" s="12" t="str">
        <f t="shared" si="176"/>
        <v/>
      </c>
      <c r="AU103" s="12" t="str">
        <f t="shared" si="177"/>
        <v/>
      </c>
      <c r="AV103" s="17"/>
      <c r="AX103" s="4"/>
    </row>
    <row r="104" spans="1:50" x14ac:dyDescent="0.25">
      <c r="A104" s="43" t="s">
        <v>275</v>
      </c>
      <c r="B104" s="52" t="s">
        <v>521</v>
      </c>
      <c r="C104" s="44"/>
      <c r="D104" s="43"/>
      <c r="E104" s="52" t="s">
        <v>522</v>
      </c>
      <c r="F104" s="46"/>
      <c r="G104" s="76" t="s">
        <v>516</v>
      </c>
      <c r="H104" s="48" t="s">
        <v>1095</v>
      </c>
      <c r="I104" s="48"/>
      <c r="J104" s="84" t="s">
        <v>1130</v>
      </c>
      <c r="K104" s="85"/>
      <c r="L104" s="47" t="s">
        <v>541</v>
      </c>
      <c r="M104" s="3">
        <v>1.89</v>
      </c>
      <c r="N104" s="3">
        <f t="shared" si="190"/>
        <v>3.5500000000000003</v>
      </c>
      <c r="O104" s="22">
        <v>0.22500000000000001</v>
      </c>
      <c r="P104" s="23">
        <v>1</v>
      </c>
      <c r="Q104" s="3"/>
      <c r="R104" s="3"/>
      <c r="S104" s="3"/>
      <c r="T104" s="3"/>
      <c r="U104" s="3"/>
      <c r="V104" s="23"/>
      <c r="W104" s="3"/>
      <c r="X104" s="3"/>
      <c r="Y104" s="17"/>
      <c r="Z104" s="17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12">
        <f t="shared" si="167"/>
        <v>6.7095000000000002</v>
      </c>
      <c r="AL104" s="12">
        <f t="shared" si="168"/>
        <v>6.7095000000000002</v>
      </c>
      <c r="AM104" s="12">
        <f t="shared" si="169"/>
        <v>1.5096375000000002</v>
      </c>
      <c r="AN104" s="12">
        <f t="shared" si="170"/>
        <v>1.5096375000000002</v>
      </c>
      <c r="AO104" s="12" t="str">
        <f t="shared" si="171"/>
        <v/>
      </c>
      <c r="AP104" s="12">
        <f t="shared" si="172"/>
        <v>1.89</v>
      </c>
      <c r="AQ104" s="12" t="str">
        <f t="shared" si="173"/>
        <v/>
      </c>
      <c r="AR104" s="12" t="str">
        <f t="shared" si="174"/>
        <v/>
      </c>
      <c r="AS104" s="12" t="str">
        <f t="shared" si="175"/>
        <v/>
      </c>
      <c r="AT104" s="12" t="str">
        <f t="shared" si="176"/>
        <v/>
      </c>
      <c r="AU104" s="12" t="str">
        <f t="shared" si="177"/>
        <v/>
      </c>
      <c r="AV104" s="17"/>
      <c r="AX104" s="4"/>
    </row>
    <row r="105" spans="1:50" x14ac:dyDescent="0.25">
      <c r="A105" s="43" t="s">
        <v>275</v>
      </c>
      <c r="B105" s="52" t="s">
        <v>521</v>
      </c>
      <c r="C105" s="44"/>
      <c r="D105" s="43"/>
      <c r="E105" s="52" t="s">
        <v>522</v>
      </c>
      <c r="F105" s="46"/>
      <c r="G105" s="76" t="s">
        <v>542</v>
      </c>
      <c r="H105" s="88" t="s">
        <v>1090</v>
      </c>
      <c r="I105" s="48"/>
      <c r="J105" s="84" t="s">
        <v>1125</v>
      </c>
      <c r="K105" s="85"/>
      <c r="L105" s="47" t="s">
        <v>541</v>
      </c>
      <c r="M105" s="3">
        <v>1.8</v>
      </c>
      <c r="N105" s="3">
        <f t="shared" si="190"/>
        <v>3.5500000000000003</v>
      </c>
      <c r="O105" s="22">
        <v>2.5000000000000001E-2</v>
      </c>
      <c r="P105" s="23">
        <v>1</v>
      </c>
      <c r="Q105" s="3"/>
      <c r="R105" s="3"/>
      <c r="S105" s="3"/>
      <c r="T105" s="3"/>
      <c r="U105" s="3"/>
      <c r="V105" s="23"/>
      <c r="W105" s="3"/>
      <c r="X105" s="3"/>
      <c r="Y105" s="17"/>
      <c r="Z105" s="17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12">
        <f t="shared" si="167"/>
        <v>6.3900000000000006</v>
      </c>
      <c r="AL105" s="12">
        <f t="shared" si="168"/>
        <v>6.3900000000000006</v>
      </c>
      <c r="AM105" s="12">
        <f t="shared" si="169"/>
        <v>0.15975000000000003</v>
      </c>
      <c r="AN105" s="12">
        <f t="shared" si="170"/>
        <v>0.15975000000000003</v>
      </c>
      <c r="AO105" s="12" t="str">
        <f t="shared" si="171"/>
        <v/>
      </c>
      <c r="AP105" s="12">
        <f t="shared" si="172"/>
        <v>1.8</v>
      </c>
      <c r="AQ105" s="12" t="str">
        <f t="shared" si="173"/>
        <v/>
      </c>
      <c r="AR105" s="12" t="str">
        <f t="shared" si="174"/>
        <v/>
      </c>
      <c r="AS105" s="12" t="str">
        <f t="shared" si="175"/>
        <v/>
      </c>
      <c r="AT105" s="12" t="str">
        <f t="shared" si="176"/>
        <v/>
      </c>
      <c r="AU105" s="12" t="str">
        <f t="shared" si="177"/>
        <v/>
      </c>
      <c r="AV105" s="17"/>
      <c r="AX105" s="4"/>
    </row>
    <row r="106" spans="1:50" x14ac:dyDescent="0.25">
      <c r="A106" s="43" t="s">
        <v>275</v>
      </c>
      <c r="B106" s="52" t="s">
        <v>522</v>
      </c>
      <c r="C106" s="44"/>
      <c r="D106" s="43"/>
      <c r="E106" s="52" t="s">
        <v>560</v>
      </c>
      <c r="F106" s="46"/>
      <c r="G106" s="76" t="s">
        <v>543</v>
      </c>
      <c r="H106" s="48" t="s">
        <v>1093</v>
      </c>
      <c r="I106" s="48"/>
      <c r="J106" s="84" t="s">
        <v>1125</v>
      </c>
      <c r="K106" s="85"/>
      <c r="L106" s="47"/>
      <c r="M106" s="3">
        <f>2.49+1.05</f>
        <v>3.54</v>
      </c>
      <c r="N106" s="3">
        <f t="shared" si="190"/>
        <v>3.5500000000000003</v>
      </c>
      <c r="O106" s="22">
        <v>0.1</v>
      </c>
      <c r="P106" s="23">
        <v>1</v>
      </c>
      <c r="Q106" s="3"/>
      <c r="R106" s="3">
        <f>0.9*2.25</f>
        <v>2.0249999999999999</v>
      </c>
      <c r="S106" s="3"/>
      <c r="T106" s="3"/>
      <c r="U106" s="3"/>
      <c r="V106" s="23"/>
      <c r="W106" s="3"/>
      <c r="X106" s="3"/>
      <c r="Y106" s="17"/>
      <c r="Z106" s="17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12">
        <f t="shared" ref="AK106:AK180" si="202">IF(((M106*N106)-Q106-R106-S106+T106+U106)=0,"",((M106*N106)-Q106-R106-S106+T106+U106))</f>
        <v>10.542000000000002</v>
      </c>
      <c r="AL106" s="12">
        <f t="shared" ref="AL106:AL180" si="203">IF(PRODUCT(P106,AK106)=0,"",P106*AK106)</f>
        <v>10.542000000000002</v>
      </c>
      <c r="AM106" s="12">
        <f t="shared" ref="AM106:AM180" si="204">IF(PRODUCT(AK106,O106)=0,"",AK106*O106)</f>
        <v>1.0542000000000002</v>
      </c>
      <c r="AN106" s="12">
        <f t="shared" ref="AN106:AN180" si="205">IF(PRODUCT(AM106,P106)=0,"",AM106*P106)</f>
        <v>1.0542000000000002</v>
      </c>
      <c r="AO106" s="12" t="str">
        <f t="shared" ref="AO106:AO180" si="206">IF(N106*V106-W106+X106=0,"",N106*V106-W106+X106)</f>
        <v/>
      </c>
      <c r="AP106" s="12">
        <f t="shared" ref="AP106:AP180" si="207">IF(PRODUCT(M106,P106)=0,"",M106*P106)</f>
        <v>3.54</v>
      </c>
      <c r="AQ106" s="12" t="str">
        <f t="shared" ref="AQ106:AQ180" si="208">IF(AA106+AB106=0,"",AA106+AB106)</f>
        <v/>
      </c>
      <c r="AR106" s="12" t="str">
        <f t="shared" ref="AR106:AR180" si="209">IF(AC106+AD106=0,"",AC106+AD106)</f>
        <v/>
      </c>
      <c r="AS106" s="12" t="str">
        <f t="shared" ref="AS106:AS180" si="210">IF((AE106*AH106*AI106)*P106=0,"",(AE106*AH106*AI106)*P106)</f>
        <v/>
      </c>
      <c r="AT106" s="12" t="str">
        <f t="shared" ref="AT106:AT180" si="211">IF(AJ106*P106=0,"",AJ106*P106)</f>
        <v/>
      </c>
      <c r="AU106" s="12" t="str">
        <f t="shared" ref="AU106:AU180" si="212">IF(OR(H106="s1",H106="s2",H106="s3",H106="s4",H106="s4*",H106="s5",H106="s12",H106="s16"),IF(M106&gt;=4,M106,""),"")</f>
        <v/>
      </c>
      <c r="AV106" s="17"/>
      <c r="AX106" s="4"/>
    </row>
    <row r="107" spans="1:50" x14ac:dyDescent="0.25">
      <c r="A107" s="43" t="s">
        <v>275</v>
      </c>
      <c r="B107" s="52" t="s">
        <v>523</v>
      </c>
      <c r="C107" s="44"/>
      <c r="D107" s="43"/>
      <c r="E107" s="52" t="s">
        <v>524</v>
      </c>
      <c r="F107" s="46"/>
      <c r="G107" s="76" t="s">
        <v>544</v>
      </c>
      <c r="H107" s="48" t="s">
        <v>1093</v>
      </c>
      <c r="I107" s="48"/>
      <c r="J107" s="84" t="s">
        <v>1125</v>
      </c>
      <c r="K107" s="85"/>
      <c r="L107" s="47"/>
      <c r="M107" s="3">
        <v>1.5</v>
      </c>
      <c r="N107" s="3">
        <f t="shared" si="190"/>
        <v>3.5500000000000003</v>
      </c>
      <c r="O107" s="22">
        <v>0.1</v>
      </c>
      <c r="P107" s="23">
        <v>1</v>
      </c>
      <c r="Q107" s="3"/>
      <c r="R107" s="3">
        <f>0.8*2.25</f>
        <v>1.8</v>
      </c>
      <c r="S107" s="3"/>
      <c r="T107" s="3"/>
      <c r="U107" s="3"/>
      <c r="V107" s="23"/>
      <c r="W107" s="3"/>
      <c r="X107" s="3"/>
      <c r="Y107" s="17"/>
      <c r="Z107" s="17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12">
        <f t="shared" si="202"/>
        <v>3.5250000000000004</v>
      </c>
      <c r="AL107" s="12">
        <f t="shared" si="203"/>
        <v>3.5250000000000004</v>
      </c>
      <c r="AM107" s="12">
        <f t="shared" si="204"/>
        <v>0.35250000000000004</v>
      </c>
      <c r="AN107" s="12">
        <f t="shared" si="205"/>
        <v>0.35250000000000004</v>
      </c>
      <c r="AO107" s="12" t="str">
        <f t="shared" si="206"/>
        <v/>
      </c>
      <c r="AP107" s="12">
        <f t="shared" si="207"/>
        <v>1.5</v>
      </c>
      <c r="AQ107" s="12" t="str">
        <f t="shared" si="208"/>
        <v/>
      </c>
      <c r="AR107" s="12" t="str">
        <f t="shared" si="209"/>
        <v/>
      </c>
      <c r="AS107" s="12" t="str">
        <f t="shared" si="210"/>
        <v/>
      </c>
      <c r="AT107" s="12" t="str">
        <f t="shared" si="211"/>
        <v/>
      </c>
      <c r="AU107" s="12" t="str">
        <f t="shared" si="212"/>
        <v/>
      </c>
      <c r="AV107" s="17"/>
      <c r="AX107" s="4"/>
    </row>
    <row r="108" spans="1:50" x14ac:dyDescent="0.25">
      <c r="A108" s="43" t="s">
        <v>275</v>
      </c>
      <c r="B108" s="52" t="s">
        <v>525</v>
      </c>
      <c r="C108" s="44"/>
      <c r="D108" s="43"/>
      <c r="E108" s="52" t="s">
        <v>561</v>
      </c>
      <c r="F108" s="46"/>
      <c r="G108" s="76" t="s">
        <v>545</v>
      </c>
      <c r="H108" s="81" t="s">
        <v>1097</v>
      </c>
      <c r="I108" s="48"/>
      <c r="J108" s="84" t="s">
        <v>1132</v>
      </c>
      <c r="K108" s="85"/>
      <c r="L108" s="47"/>
      <c r="M108" s="3">
        <f>1.825+0.1+1.5</f>
        <v>3.4249999999999998</v>
      </c>
      <c r="N108" s="3">
        <f t="shared" si="190"/>
        <v>3.5500000000000003</v>
      </c>
      <c r="O108" s="22">
        <v>0.15</v>
      </c>
      <c r="P108" s="23">
        <v>1</v>
      </c>
      <c r="Q108" s="3"/>
      <c r="R108" s="3"/>
      <c r="S108" s="3"/>
      <c r="T108" s="3"/>
      <c r="U108" s="3"/>
      <c r="V108" s="23"/>
      <c r="W108" s="3"/>
      <c r="X108" s="3"/>
      <c r="Y108" s="17"/>
      <c r="Z108" s="17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12">
        <f t="shared" si="202"/>
        <v>12.15875</v>
      </c>
      <c r="AL108" s="12">
        <f t="shared" si="203"/>
        <v>12.15875</v>
      </c>
      <c r="AM108" s="12">
        <f t="shared" si="204"/>
        <v>1.8238124999999998</v>
      </c>
      <c r="AN108" s="12">
        <f t="shared" si="205"/>
        <v>1.8238124999999998</v>
      </c>
      <c r="AO108" s="12" t="str">
        <f t="shared" si="206"/>
        <v/>
      </c>
      <c r="AP108" s="12">
        <f t="shared" si="207"/>
        <v>3.4249999999999998</v>
      </c>
      <c r="AQ108" s="12" t="str">
        <f t="shared" si="208"/>
        <v/>
      </c>
      <c r="AR108" s="12" t="str">
        <f t="shared" si="209"/>
        <v/>
      </c>
      <c r="AS108" s="12" t="str">
        <f t="shared" si="210"/>
        <v/>
      </c>
      <c r="AT108" s="12" t="str">
        <f t="shared" si="211"/>
        <v/>
      </c>
      <c r="AU108" s="12" t="str">
        <f t="shared" si="212"/>
        <v/>
      </c>
      <c r="AV108" s="17"/>
      <c r="AX108" s="4"/>
    </row>
    <row r="109" spans="1:50" x14ac:dyDescent="0.25">
      <c r="A109" s="43" t="s">
        <v>275</v>
      </c>
      <c r="B109" s="52" t="s">
        <v>525</v>
      </c>
      <c r="C109" s="44"/>
      <c r="D109" s="43"/>
      <c r="E109" s="52" t="s">
        <v>526</v>
      </c>
      <c r="F109" s="46"/>
      <c r="G109" s="76" t="s">
        <v>546</v>
      </c>
      <c r="H109" s="81" t="s">
        <v>1097</v>
      </c>
      <c r="I109" s="48"/>
      <c r="J109" s="84" t="s">
        <v>1131</v>
      </c>
      <c r="K109" s="85"/>
      <c r="L109" s="47"/>
      <c r="M109" s="3">
        <f>1.8+0.1+1.45+0.2</f>
        <v>3.5500000000000003</v>
      </c>
      <c r="N109" s="3">
        <f t="shared" si="190"/>
        <v>3.5500000000000003</v>
      </c>
      <c r="O109" s="22">
        <v>0.15</v>
      </c>
      <c r="P109" s="23">
        <v>1</v>
      </c>
      <c r="Q109" s="3"/>
      <c r="R109" s="3"/>
      <c r="S109" s="3"/>
      <c r="T109" s="3"/>
      <c r="U109" s="3"/>
      <c r="V109" s="23"/>
      <c r="W109" s="3"/>
      <c r="X109" s="3"/>
      <c r="Y109" s="17"/>
      <c r="Z109" s="17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12">
        <f t="shared" si="202"/>
        <v>12.602500000000003</v>
      </c>
      <c r="AL109" s="12">
        <f t="shared" si="203"/>
        <v>12.602500000000003</v>
      </c>
      <c r="AM109" s="12">
        <f t="shared" si="204"/>
        <v>1.8903750000000004</v>
      </c>
      <c r="AN109" s="12">
        <f t="shared" si="205"/>
        <v>1.8903750000000004</v>
      </c>
      <c r="AO109" s="12" t="str">
        <f t="shared" si="206"/>
        <v/>
      </c>
      <c r="AP109" s="12">
        <f t="shared" si="207"/>
        <v>3.5500000000000003</v>
      </c>
      <c r="AQ109" s="12" t="str">
        <f t="shared" si="208"/>
        <v/>
      </c>
      <c r="AR109" s="12" t="str">
        <f t="shared" si="209"/>
        <v/>
      </c>
      <c r="AS109" s="12" t="str">
        <f t="shared" si="210"/>
        <v/>
      </c>
      <c r="AT109" s="12" t="str">
        <f t="shared" si="211"/>
        <v/>
      </c>
      <c r="AU109" s="12" t="str">
        <f t="shared" si="212"/>
        <v/>
      </c>
      <c r="AV109" s="17"/>
      <c r="AX109" s="4"/>
    </row>
    <row r="110" spans="1:50" x14ac:dyDescent="0.25">
      <c r="A110" s="43" t="s">
        <v>275</v>
      </c>
      <c r="B110" s="52" t="s">
        <v>526</v>
      </c>
      <c r="C110" s="44"/>
      <c r="D110" s="43"/>
      <c r="E110" s="52"/>
      <c r="F110" s="46"/>
      <c r="G110" s="76" t="s">
        <v>547</v>
      </c>
      <c r="H110" s="48" t="s">
        <v>1093</v>
      </c>
      <c r="I110" s="48"/>
      <c r="J110" s="84" t="s">
        <v>1131</v>
      </c>
      <c r="K110" s="85"/>
      <c r="L110" s="47"/>
      <c r="M110" s="3">
        <v>1.1599999999999999</v>
      </c>
      <c r="N110" s="3">
        <f t="shared" si="190"/>
        <v>3.5500000000000003</v>
      </c>
      <c r="O110" s="22">
        <v>0.1</v>
      </c>
      <c r="P110" s="23">
        <v>1</v>
      </c>
      <c r="Q110" s="3"/>
      <c r="R110" s="3">
        <f>0.8*2.25</f>
        <v>1.8</v>
      </c>
      <c r="S110" s="3"/>
      <c r="T110" s="3"/>
      <c r="U110" s="3"/>
      <c r="V110" s="23"/>
      <c r="W110" s="3"/>
      <c r="X110" s="3"/>
      <c r="Y110" s="17"/>
      <c r="Z110" s="17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12">
        <f t="shared" si="202"/>
        <v>2.3180000000000005</v>
      </c>
      <c r="AL110" s="12">
        <f t="shared" si="203"/>
        <v>2.3180000000000005</v>
      </c>
      <c r="AM110" s="12">
        <f t="shared" si="204"/>
        <v>0.23180000000000006</v>
      </c>
      <c r="AN110" s="12">
        <f t="shared" si="205"/>
        <v>0.23180000000000006</v>
      </c>
      <c r="AO110" s="12" t="str">
        <f t="shared" si="206"/>
        <v/>
      </c>
      <c r="AP110" s="12">
        <f t="shared" si="207"/>
        <v>1.1599999999999999</v>
      </c>
      <c r="AQ110" s="12" t="str">
        <f t="shared" si="208"/>
        <v/>
      </c>
      <c r="AR110" s="12" t="str">
        <f t="shared" si="209"/>
        <v/>
      </c>
      <c r="AS110" s="12" t="str">
        <f t="shared" si="210"/>
        <v/>
      </c>
      <c r="AT110" s="12" t="str">
        <f t="shared" si="211"/>
        <v/>
      </c>
      <c r="AU110" s="12" t="str">
        <f t="shared" si="212"/>
        <v/>
      </c>
      <c r="AV110" s="17"/>
      <c r="AX110" s="4"/>
    </row>
    <row r="111" spans="1:50" x14ac:dyDescent="0.25">
      <c r="A111" s="43" t="s">
        <v>275</v>
      </c>
      <c r="B111" s="52" t="s">
        <v>525</v>
      </c>
      <c r="C111" s="44"/>
      <c r="D111" s="43"/>
      <c r="E111" s="52"/>
      <c r="F111" s="46"/>
      <c r="G111" s="76" t="s">
        <v>548</v>
      </c>
      <c r="H111" s="48" t="s">
        <v>1090</v>
      </c>
      <c r="I111" s="48"/>
      <c r="J111" s="84" t="s">
        <v>1131</v>
      </c>
      <c r="K111" s="85"/>
      <c r="L111" s="47" t="s">
        <v>562</v>
      </c>
      <c r="M111" s="3">
        <f>1.8+0.15</f>
        <v>1.95</v>
      </c>
      <c r="N111" s="3">
        <f t="shared" si="190"/>
        <v>3.5500000000000003</v>
      </c>
      <c r="O111" s="22">
        <v>0.2</v>
      </c>
      <c r="P111" s="23">
        <v>1</v>
      </c>
      <c r="Q111" s="3"/>
      <c r="R111" s="3"/>
      <c r="S111" s="3"/>
      <c r="T111" s="3"/>
      <c r="U111" s="3"/>
      <c r="V111" s="23"/>
      <c r="W111" s="3"/>
      <c r="X111" s="3"/>
      <c r="Y111" s="17"/>
      <c r="Z111" s="17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12">
        <f t="shared" si="202"/>
        <v>6.9225000000000003</v>
      </c>
      <c r="AL111" s="12">
        <f t="shared" si="203"/>
        <v>6.9225000000000003</v>
      </c>
      <c r="AM111" s="12">
        <f t="shared" si="204"/>
        <v>1.3845000000000001</v>
      </c>
      <c r="AN111" s="12">
        <f t="shared" si="205"/>
        <v>1.3845000000000001</v>
      </c>
      <c r="AO111" s="12" t="str">
        <f t="shared" si="206"/>
        <v/>
      </c>
      <c r="AP111" s="12">
        <f t="shared" si="207"/>
        <v>1.95</v>
      </c>
      <c r="AQ111" s="12" t="str">
        <f t="shared" si="208"/>
        <v/>
      </c>
      <c r="AR111" s="12" t="str">
        <f t="shared" si="209"/>
        <v/>
      </c>
      <c r="AS111" s="12" t="str">
        <f t="shared" si="210"/>
        <v/>
      </c>
      <c r="AT111" s="12" t="str">
        <f t="shared" si="211"/>
        <v/>
      </c>
      <c r="AU111" s="12" t="str">
        <f t="shared" si="212"/>
        <v/>
      </c>
      <c r="AV111" s="17"/>
      <c r="AX111" s="4"/>
    </row>
    <row r="112" spans="1:50" x14ac:dyDescent="0.25">
      <c r="A112" s="43" t="s">
        <v>275</v>
      </c>
      <c r="B112" s="52" t="s">
        <v>526</v>
      </c>
      <c r="C112" s="44"/>
      <c r="D112" s="43"/>
      <c r="E112" s="52"/>
      <c r="F112" s="46"/>
      <c r="G112" s="76" t="s">
        <v>549</v>
      </c>
      <c r="H112" s="48" t="s">
        <v>1090</v>
      </c>
      <c r="I112" s="48"/>
      <c r="J112" s="84" t="s">
        <v>1131</v>
      </c>
      <c r="K112" s="85"/>
      <c r="L112" s="47" t="s">
        <v>562</v>
      </c>
      <c r="M112" s="3">
        <v>1.1599999999999999</v>
      </c>
      <c r="N112" s="3">
        <f t="shared" si="190"/>
        <v>3.5500000000000003</v>
      </c>
      <c r="O112" s="22">
        <v>0.2</v>
      </c>
      <c r="P112" s="23">
        <v>1</v>
      </c>
      <c r="Q112" s="3"/>
      <c r="R112" s="3"/>
      <c r="S112" s="3"/>
      <c r="T112" s="3"/>
      <c r="U112" s="3"/>
      <c r="V112" s="23"/>
      <c r="W112" s="3"/>
      <c r="X112" s="3"/>
      <c r="Y112" s="17"/>
      <c r="Z112" s="17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12">
        <f t="shared" si="202"/>
        <v>4.1180000000000003</v>
      </c>
      <c r="AL112" s="12">
        <f t="shared" si="203"/>
        <v>4.1180000000000003</v>
      </c>
      <c r="AM112" s="12">
        <f t="shared" si="204"/>
        <v>0.82360000000000011</v>
      </c>
      <c r="AN112" s="12">
        <f t="shared" si="205"/>
        <v>0.82360000000000011</v>
      </c>
      <c r="AO112" s="12" t="str">
        <f t="shared" si="206"/>
        <v/>
      </c>
      <c r="AP112" s="12">
        <f t="shared" si="207"/>
        <v>1.1599999999999999</v>
      </c>
      <c r="AQ112" s="12" t="str">
        <f t="shared" si="208"/>
        <v/>
      </c>
      <c r="AR112" s="12" t="str">
        <f t="shared" si="209"/>
        <v/>
      </c>
      <c r="AS112" s="12" t="str">
        <f t="shared" si="210"/>
        <v/>
      </c>
      <c r="AT112" s="12" t="str">
        <f t="shared" si="211"/>
        <v/>
      </c>
      <c r="AU112" s="12" t="str">
        <f t="shared" si="212"/>
        <v/>
      </c>
      <c r="AV112" s="17"/>
      <c r="AX112" s="4"/>
    </row>
    <row r="113" spans="1:50" x14ac:dyDescent="0.25">
      <c r="A113" s="43" t="s">
        <v>275</v>
      </c>
      <c r="B113" s="52" t="s">
        <v>563</v>
      </c>
      <c r="C113" s="44"/>
      <c r="D113" s="43"/>
      <c r="E113" s="52" t="s">
        <v>564</v>
      </c>
      <c r="F113" s="46"/>
      <c r="G113" s="76" t="s">
        <v>550</v>
      </c>
      <c r="H113" s="48" t="s">
        <v>1093</v>
      </c>
      <c r="I113" s="48"/>
      <c r="J113" s="84" t="s">
        <v>1131</v>
      </c>
      <c r="K113" s="85"/>
      <c r="L113" s="47"/>
      <c r="M113" s="3">
        <f>2.25-M114</f>
        <v>1.45</v>
      </c>
      <c r="N113" s="3">
        <f>3.1+0.2</f>
        <v>3.3000000000000003</v>
      </c>
      <c r="O113" s="22">
        <v>0.1</v>
      </c>
      <c r="P113" s="23">
        <v>1</v>
      </c>
      <c r="Q113" s="3"/>
      <c r="R113" s="3"/>
      <c r="S113" s="3"/>
      <c r="T113" s="3"/>
      <c r="U113" s="3"/>
      <c r="V113" s="23"/>
      <c r="W113" s="3"/>
      <c r="X113" s="3"/>
      <c r="Y113" s="17"/>
      <c r="Z113" s="17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12">
        <f t="shared" si="202"/>
        <v>4.7850000000000001</v>
      </c>
      <c r="AL113" s="12">
        <f t="shared" si="203"/>
        <v>4.7850000000000001</v>
      </c>
      <c r="AM113" s="12">
        <f t="shared" si="204"/>
        <v>0.47850000000000004</v>
      </c>
      <c r="AN113" s="12">
        <f t="shared" si="205"/>
        <v>0.47850000000000004</v>
      </c>
      <c r="AO113" s="12" t="str">
        <f t="shared" si="206"/>
        <v/>
      </c>
      <c r="AP113" s="12">
        <f t="shared" si="207"/>
        <v>1.45</v>
      </c>
      <c r="AQ113" s="12" t="str">
        <f t="shared" si="208"/>
        <v/>
      </c>
      <c r="AR113" s="12" t="str">
        <f t="shared" si="209"/>
        <v/>
      </c>
      <c r="AS113" s="12" t="str">
        <f t="shared" si="210"/>
        <v/>
      </c>
      <c r="AT113" s="12" t="str">
        <f t="shared" si="211"/>
        <v/>
      </c>
      <c r="AU113" s="12" t="str">
        <f t="shared" si="212"/>
        <v/>
      </c>
      <c r="AV113" s="17"/>
      <c r="AX113" s="4"/>
    </row>
    <row r="114" spans="1:50" x14ac:dyDescent="0.25">
      <c r="A114" s="43" t="s">
        <v>275</v>
      </c>
      <c r="B114" s="52" t="s">
        <v>563</v>
      </c>
      <c r="C114" s="44"/>
      <c r="D114" s="43"/>
      <c r="E114" s="52" t="s">
        <v>521</v>
      </c>
      <c r="F114" s="46"/>
      <c r="G114" s="76" t="s">
        <v>1135</v>
      </c>
      <c r="H114" s="48" t="s">
        <v>1093</v>
      </c>
      <c r="I114" s="48"/>
      <c r="J114" s="84" t="s">
        <v>1132</v>
      </c>
      <c r="K114" s="85"/>
      <c r="L114" s="47"/>
      <c r="M114" s="3">
        <v>0.8</v>
      </c>
      <c r="N114" s="3">
        <f>3.1+0.2</f>
        <v>3.3000000000000003</v>
      </c>
      <c r="O114" s="22">
        <v>0.1</v>
      </c>
      <c r="P114" s="23">
        <v>1</v>
      </c>
      <c r="Q114" s="3"/>
      <c r="R114" s="3"/>
      <c r="S114" s="3"/>
      <c r="T114" s="3"/>
      <c r="U114" s="3"/>
      <c r="V114" s="23"/>
      <c r="W114" s="3"/>
      <c r="X114" s="3"/>
      <c r="Y114" s="17"/>
      <c r="Z114" s="17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12">
        <f t="shared" ref="AK114" si="213">IF(((M114*N114)-Q114-R114-S114+T114+U114)=0,"",((M114*N114)-Q114-R114-S114+T114+U114))</f>
        <v>2.6400000000000006</v>
      </c>
      <c r="AL114" s="12">
        <f t="shared" ref="AL114" si="214">IF(PRODUCT(P114,AK114)=0,"",P114*AK114)</f>
        <v>2.6400000000000006</v>
      </c>
      <c r="AM114" s="12">
        <f t="shared" ref="AM114" si="215">IF(PRODUCT(AK114,O114)=0,"",AK114*O114)</f>
        <v>0.26400000000000007</v>
      </c>
      <c r="AN114" s="12">
        <f t="shared" ref="AN114" si="216">IF(PRODUCT(AM114,P114)=0,"",AM114*P114)</f>
        <v>0.26400000000000007</v>
      </c>
      <c r="AO114" s="12" t="str">
        <f t="shared" ref="AO114" si="217">IF(N114*V114-W114+X114=0,"",N114*V114-W114+X114)</f>
        <v/>
      </c>
      <c r="AP114" s="12">
        <f t="shared" ref="AP114" si="218">IF(PRODUCT(M114,P114)=0,"",M114*P114)</f>
        <v>0.8</v>
      </c>
      <c r="AQ114" s="12" t="str">
        <f t="shared" ref="AQ114" si="219">IF(AA114+AB114=0,"",AA114+AB114)</f>
        <v/>
      </c>
      <c r="AR114" s="12" t="str">
        <f t="shared" ref="AR114" si="220">IF(AC114+AD114=0,"",AC114+AD114)</f>
        <v/>
      </c>
      <c r="AS114" s="12" t="str">
        <f t="shared" ref="AS114" si="221">IF((AE114*AH114*AI114)*P114=0,"",(AE114*AH114*AI114)*P114)</f>
        <v/>
      </c>
      <c r="AT114" s="12" t="str">
        <f t="shared" ref="AT114" si="222">IF(AJ114*P114=0,"",AJ114*P114)</f>
        <v/>
      </c>
      <c r="AU114" s="12" t="str">
        <f t="shared" ref="AU114" si="223">IF(OR(H114="s1",H114="s2",H114="s3",H114="s4",H114="s4*",H114="s5",H114="s12",H114="s16"),IF(M114&gt;=4,M114,""),"")</f>
        <v/>
      </c>
      <c r="AV114" s="17"/>
      <c r="AX114" s="4"/>
    </row>
    <row r="115" spans="1:50" x14ac:dyDescent="0.25">
      <c r="A115" s="43" t="s">
        <v>275</v>
      </c>
      <c r="B115" s="52" t="s">
        <v>563</v>
      </c>
      <c r="C115" s="44"/>
      <c r="D115" s="43"/>
      <c r="E115" s="52" t="s">
        <v>565</v>
      </c>
      <c r="F115" s="46"/>
      <c r="G115" s="76" t="s">
        <v>551</v>
      </c>
      <c r="H115" s="48" t="s">
        <v>1093</v>
      </c>
      <c r="I115" s="48"/>
      <c r="J115" s="84" t="s">
        <v>1131</v>
      </c>
      <c r="K115" s="85"/>
      <c r="L115" s="47"/>
      <c r="M115" s="3">
        <v>1.75</v>
      </c>
      <c r="N115" s="3">
        <f t="shared" ref="N115:N121" si="224">3.1+0.2</f>
        <v>3.3000000000000003</v>
      </c>
      <c r="O115" s="22">
        <v>0.1</v>
      </c>
      <c r="P115" s="23">
        <v>1</v>
      </c>
      <c r="Q115" s="3"/>
      <c r="R115" s="3">
        <f>0.8*2.25</f>
        <v>1.8</v>
      </c>
      <c r="S115" s="3"/>
      <c r="T115" s="3"/>
      <c r="U115" s="3"/>
      <c r="V115" s="23"/>
      <c r="W115" s="3"/>
      <c r="X115" s="3"/>
      <c r="Y115" s="17"/>
      <c r="Z115" s="17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12">
        <f t="shared" si="202"/>
        <v>3.9750000000000005</v>
      </c>
      <c r="AL115" s="12">
        <f t="shared" si="203"/>
        <v>3.9750000000000005</v>
      </c>
      <c r="AM115" s="12">
        <f t="shared" si="204"/>
        <v>0.39750000000000008</v>
      </c>
      <c r="AN115" s="12">
        <f t="shared" si="205"/>
        <v>0.39750000000000008</v>
      </c>
      <c r="AO115" s="12" t="str">
        <f t="shared" si="206"/>
        <v/>
      </c>
      <c r="AP115" s="12">
        <f t="shared" si="207"/>
        <v>1.75</v>
      </c>
      <c r="AQ115" s="12" t="str">
        <f t="shared" si="208"/>
        <v/>
      </c>
      <c r="AR115" s="12" t="str">
        <f t="shared" si="209"/>
        <v/>
      </c>
      <c r="AS115" s="12" t="str">
        <f t="shared" si="210"/>
        <v/>
      </c>
      <c r="AT115" s="12" t="str">
        <f t="shared" si="211"/>
        <v/>
      </c>
      <c r="AU115" s="12" t="str">
        <f t="shared" si="212"/>
        <v/>
      </c>
      <c r="AV115" s="17"/>
      <c r="AX115" s="4"/>
    </row>
    <row r="116" spans="1:50" x14ac:dyDescent="0.25">
      <c r="A116" s="43" t="s">
        <v>275</v>
      </c>
      <c r="B116" s="52" t="s">
        <v>565</v>
      </c>
      <c r="C116" s="44"/>
      <c r="D116" s="43"/>
      <c r="E116" s="52" t="s">
        <v>566</v>
      </c>
      <c r="F116" s="46"/>
      <c r="G116" s="76" t="s">
        <v>552</v>
      </c>
      <c r="H116" s="48" t="s">
        <v>1098</v>
      </c>
      <c r="I116" s="48"/>
      <c r="J116" s="84" t="s">
        <v>1131</v>
      </c>
      <c r="K116" s="85"/>
      <c r="L116" s="47" t="s">
        <v>567</v>
      </c>
      <c r="M116" s="3">
        <v>1.8</v>
      </c>
      <c r="N116" s="3">
        <f t="shared" si="224"/>
        <v>3.3000000000000003</v>
      </c>
      <c r="O116" s="22">
        <v>0.25</v>
      </c>
      <c r="P116" s="23">
        <v>1</v>
      </c>
      <c r="Q116" s="3"/>
      <c r="R116" s="3"/>
      <c r="S116" s="3"/>
      <c r="T116" s="3"/>
      <c r="U116" s="3"/>
      <c r="V116" s="23"/>
      <c r="W116" s="3"/>
      <c r="X116" s="3"/>
      <c r="Y116" s="17"/>
      <c r="Z116" s="17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12">
        <f t="shared" si="202"/>
        <v>5.94</v>
      </c>
      <c r="AL116" s="12">
        <f t="shared" si="203"/>
        <v>5.94</v>
      </c>
      <c r="AM116" s="12">
        <f t="shared" si="204"/>
        <v>1.4850000000000001</v>
      </c>
      <c r="AN116" s="12">
        <f t="shared" si="205"/>
        <v>1.4850000000000001</v>
      </c>
      <c r="AO116" s="12" t="str">
        <f t="shared" si="206"/>
        <v/>
      </c>
      <c r="AP116" s="12">
        <f t="shared" si="207"/>
        <v>1.8</v>
      </c>
      <c r="AQ116" s="12" t="str">
        <f t="shared" si="208"/>
        <v/>
      </c>
      <c r="AR116" s="12" t="str">
        <f t="shared" si="209"/>
        <v/>
      </c>
      <c r="AS116" s="12" t="str">
        <f t="shared" si="210"/>
        <v/>
      </c>
      <c r="AT116" s="12" t="str">
        <f t="shared" si="211"/>
        <v/>
      </c>
      <c r="AU116" s="12" t="str">
        <f t="shared" si="212"/>
        <v/>
      </c>
      <c r="AV116" s="17"/>
      <c r="AX116" s="4"/>
    </row>
    <row r="117" spans="1:50" x14ac:dyDescent="0.25">
      <c r="A117" s="43" t="s">
        <v>275</v>
      </c>
      <c r="B117" s="52" t="s">
        <v>564</v>
      </c>
      <c r="C117" s="44"/>
      <c r="D117" s="43"/>
      <c r="E117" s="52" t="s">
        <v>568</v>
      </c>
      <c r="F117" s="46"/>
      <c r="G117" s="76" t="s">
        <v>553</v>
      </c>
      <c r="H117" s="48" t="s">
        <v>1093</v>
      </c>
      <c r="I117" s="48"/>
      <c r="J117" s="84" t="s">
        <v>1131</v>
      </c>
      <c r="K117" s="85"/>
      <c r="L117" s="47"/>
      <c r="M117" s="3">
        <v>3.4</v>
      </c>
      <c r="N117" s="3">
        <f t="shared" si="224"/>
        <v>3.3000000000000003</v>
      </c>
      <c r="O117" s="22">
        <v>0.1</v>
      </c>
      <c r="P117" s="23">
        <v>1</v>
      </c>
      <c r="Q117" s="3"/>
      <c r="R117" s="3">
        <f>0.8*2.25*2</f>
        <v>3.6</v>
      </c>
      <c r="S117" s="3"/>
      <c r="T117" s="3"/>
      <c r="U117" s="3"/>
      <c r="V117" s="23"/>
      <c r="W117" s="3"/>
      <c r="X117" s="3"/>
      <c r="Y117" s="17"/>
      <c r="Z117" s="17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12">
        <f t="shared" si="202"/>
        <v>7.620000000000001</v>
      </c>
      <c r="AL117" s="12">
        <f t="shared" si="203"/>
        <v>7.620000000000001</v>
      </c>
      <c r="AM117" s="12">
        <f t="shared" si="204"/>
        <v>0.76200000000000012</v>
      </c>
      <c r="AN117" s="12">
        <f t="shared" si="205"/>
        <v>0.76200000000000012</v>
      </c>
      <c r="AO117" s="12" t="str">
        <f t="shared" si="206"/>
        <v/>
      </c>
      <c r="AP117" s="12">
        <f t="shared" si="207"/>
        <v>3.4</v>
      </c>
      <c r="AQ117" s="12" t="str">
        <f t="shared" si="208"/>
        <v/>
      </c>
      <c r="AR117" s="12" t="str">
        <f t="shared" si="209"/>
        <v/>
      </c>
      <c r="AS117" s="12" t="str">
        <f t="shared" si="210"/>
        <v/>
      </c>
      <c r="AT117" s="12" t="str">
        <f t="shared" si="211"/>
        <v/>
      </c>
      <c r="AU117" s="12" t="str">
        <f t="shared" si="212"/>
        <v/>
      </c>
      <c r="AV117" s="17"/>
      <c r="AX117" s="4"/>
    </row>
    <row r="118" spans="1:50" x14ac:dyDescent="0.25">
      <c r="A118" s="43" t="s">
        <v>275</v>
      </c>
      <c r="B118" s="52" t="s">
        <v>566</v>
      </c>
      <c r="C118" s="44"/>
      <c r="D118" s="43"/>
      <c r="E118" s="52" t="s">
        <v>569</v>
      </c>
      <c r="F118" s="46"/>
      <c r="G118" s="76" t="s">
        <v>554</v>
      </c>
      <c r="H118" s="48" t="s">
        <v>1099</v>
      </c>
      <c r="I118" s="48"/>
      <c r="J118" s="84" t="s">
        <v>1131</v>
      </c>
      <c r="K118" s="85"/>
      <c r="L118" s="47" t="s">
        <v>567</v>
      </c>
      <c r="M118" s="3">
        <v>1.8</v>
      </c>
      <c r="N118" s="3">
        <f t="shared" si="224"/>
        <v>3.3000000000000003</v>
      </c>
      <c r="O118" s="22">
        <v>0.4</v>
      </c>
      <c r="P118" s="23">
        <v>1</v>
      </c>
      <c r="Q118" s="3"/>
      <c r="R118" s="3"/>
      <c r="S118" s="3"/>
      <c r="T118" s="3"/>
      <c r="U118" s="3"/>
      <c r="V118" s="23"/>
      <c r="W118" s="3"/>
      <c r="X118" s="3"/>
      <c r="Y118" s="17"/>
      <c r="Z118" s="17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12">
        <f t="shared" si="202"/>
        <v>5.94</v>
      </c>
      <c r="AL118" s="12">
        <f t="shared" si="203"/>
        <v>5.94</v>
      </c>
      <c r="AM118" s="12">
        <f t="shared" si="204"/>
        <v>2.3760000000000003</v>
      </c>
      <c r="AN118" s="12">
        <f t="shared" si="205"/>
        <v>2.3760000000000003</v>
      </c>
      <c r="AO118" s="12" t="str">
        <f t="shared" si="206"/>
        <v/>
      </c>
      <c r="AP118" s="12">
        <f t="shared" si="207"/>
        <v>1.8</v>
      </c>
      <c r="AQ118" s="12" t="str">
        <f t="shared" si="208"/>
        <v/>
      </c>
      <c r="AR118" s="12" t="str">
        <f t="shared" si="209"/>
        <v/>
      </c>
      <c r="AS118" s="12" t="str">
        <f t="shared" si="210"/>
        <v/>
      </c>
      <c r="AT118" s="12" t="str">
        <f t="shared" si="211"/>
        <v/>
      </c>
      <c r="AU118" s="12" t="str">
        <f t="shared" si="212"/>
        <v/>
      </c>
      <c r="AV118" s="17"/>
      <c r="AX118" s="4"/>
    </row>
    <row r="119" spans="1:50" x14ac:dyDescent="0.25">
      <c r="A119" s="43" t="s">
        <v>275</v>
      </c>
      <c r="B119" s="52" t="s">
        <v>569</v>
      </c>
      <c r="C119" s="44"/>
      <c r="D119" s="43"/>
      <c r="E119" s="52" t="s">
        <v>527</v>
      </c>
      <c r="F119" s="46"/>
      <c r="G119" s="76" t="s">
        <v>555</v>
      </c>
      <c r="H119" s="48" t="s">
        <v>1093</v>
      </c>
      <c r="I119" s="48"/>
      <c r="J119" s="84" t="s">
        <v>1132</v>
      </c>
      <c r="K119" s="85"/>
      <c r="L119" s="47"/>
      <c r="M119" s="3">
        <v>1.9</v>
      </c>
      <c r="N119" s="3">
        <f t="shared" si="224"/>
        <v>3.3000000000000003</v>
      </c>
      <c r="O119" s="22">
        <v>0.1</v>
      </c>
      <c r="P119" s="23">
        <v>1</v>
      </c>
      <c r="Q119" s="3"/>
      <c r="R119" s="3"/>
      <c r="S119" s="3"/>
      <c r="T119" s="3"/>
      <c r="U119" s="3"/>
      <c r="V119" s="23"/>
      <c r="W119" s="3"/>
      <c r="X119" s="3"/>
      <c r="Y119" s="17"/>
      <c r="Z119" s="17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12">
        <f t="shared" si="202"/>
        <v>6.2700000000000005</v>
      </c>
      <c r="AL119" s="12">
        <f t="shared" si="203"/>
        <v>6.2700000000000005</v>
      </c>
      <c r="AM119" s="12">
        <f t="shared" si="204"/>
        <v>0.62700000000000011</v>
      </c>
      <c r="AN119" s="12">
        <f t="shared" si="205"/>
        <v>0.62700000000000011</v>
      </c>
      <c r="AO119" s="12" t="str">
        <f t="shared" si="206"/>
        <v/>
      </c>
      <c r="AP119" s="12">
        <f t="shared" si="207"/>
        <v>1.9</v>
      </c>
      <c r="AQ119" s="12" t="str">
        <f t="shared" si="208"/>
        <v/>
      </c>
      <c r="AR119" s="12" t="str">
        <f t="shared" si="209"/>
        <v/>
      </c>
      <c r="AS119" s="12" t="str">
        <f t="shared" si="210"/>
        <v/>
      </c>
      <c r="AT119" s="12" t="str">
        <f t="shared" si="211"/>
        <v/>
      </c>
      <c r="AU119" s="12" t="str">
        <f t="shared" si="212"/>
        <v/>
      </c>
      <c r="AV119" s="17"/>
      <c r="AX119" s="4"/>
    </row>
    <row r="120" spans="1:50" x14ac:dyDescent="0.25">
      <c r="A120" s="43" t="s">
        <v>275</v>
      </c>
      <c r="B120" s="52" t="s">
        <v>564</v>
      </c>
      <c r="C120" s="44"/>
      <c r="D120" s="43"/>
      <c r="E120" s="52" t="s">
        <v>527</v>
      </c>
      <c r="F120" s="46"/>
      <c r="G120" s="76" t="s">
        <v>556</v>
      </c>
      <c r="H120" s="48" t="s">
        <v>1093</v>
      </c>
      <c r="I120" s="48"/>
      <c r="J120" s="84" t="s">
        <v>1132</v>
      </c>
      <c r="K120" s="85"/>
      <c r="L120" s="47"/>
      <c r="M120" s="3">
        <f>1.45</f>
        <v>1.45</v>
      </c>
      <c r="N120" s="3">
        <f t="shared" si="224"/>
        <v>3.3000000000000003</v>
      </c>
      <c r="O120" s="22">
        <v>0.1</v>
      </c>
      <c r="P120" s="23">
        <v>1</v>
      </c>
      <c r="Q120" s="3"/>
      <c r="R120" s="3">
        <f>0.8*2.25</f>
        <v>1.8</v>
      </c>
      <c r="S120" s="3"/>
      <c r="T120" s="3"/>
      <c r="U120" s="3"/>
      <c r="V120" s="23"/>
      <c r="W120" s="3"/>
      <c r="X120" s="3"/>
      <c r="Y120" s="17"/>
      <c r="Z120" s="17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12">
        <f t="shared" si="202"/>
        <v>2.9850000000000003</v>
      </c>
      <c r="AL120" s="12">
        <f t="shared" si="203"/>
        <v>2.9850000000000003</v>
      </c>
      <c r="AM120" s="12">
        <f t="shared" si="204"/>
        <v>0.29850000000000004</v>
      </c>
      <c r="AN120" s="12">
        <f t="shared" si="205"/>
        <v>0.29850000000000004</v>
      </c>
      <c r="AO120" s="12" t="str">
        <f t="shared" si="206"/>
        <v/>
      </c>
      <c r="AP120" s="12">
        <f t="shared" si="207"/>
        <v>1.45</v>
      </c>
      <c r="AQ120" s="12" t="str">
        <f t="shared" si="208"/>
        <v/>
      </c>
      <c r="AR120" s="12" t="str">
        <f t="shared" si="209"/>
        <v/>
      </c>
      <c r="AS120" s="12" t="str">
        <f t="shared" si="210"/>
        <v/>
      </c>
      <c r="AT120" s="12" t="str">
        <f t="shared" si="211"/>
        <v/>
      </c>
      <c r="AU120" s="12" t="str">
        <f t="shared" si="212"/>
        <v/>
      </c>
      <c r="AV120" s="17"/>
      <c r="AX120" s="4"/>
    </row>
    <row r="121" spans="1:50" x14ac:dyDescent="0.25">
      <c r="A121" s="43" t="s">
        <v>275</v>
      </c>
      <c r="B121" s="52" t="s">
        <v>527</v>
      </c>
      <c r="C121" s="44"/>
      <c r="D121" s="43"/>
      <c r="E121" s="52" t="s">
        <v>521</v>
      </c>
      <c r="F121" s="46"/>
      <c r="G121" s="76" t="s">
        <v>1136</v>
      </c>
      <c r="H121" s="48" t="s">
        <v>1093</v>
      </c>
      <c r="I121" s="48"/>
      <c r="J121" s="84" t="s">
        <v>1125</v>
      </c>
      <c r="K121" s="85"/>
      <c r="L121" s="47"/>
      <c r="M121" s="3">
        <f>0.2+0.6</f>
        <v>0.8</v>
      </c>
      <c r="N121" s="3">
        <f t="shared" si="224"/>
        <v>3.3000000000000003</v>
      </c>
      <c r="O121" s="22">
        <v>0.1</v>
      </c>
      <c r="P121" s="23">
        <v>1</v>
      </c>
      <c r="Q121" s="3"/>
      <c r="R121" s="3">
        <f>0.8*2.25</f>
        <v>1.8</v>
      </c>
      <c r="S121" s="3"/>
      <c r="T121" s="3"/>
      <c r="U121" s="3"/>
      <c r="V121" s="23"/>
      <c r="W121" s="3"/>
      <c r="X121" s="3"/>
      <c r="Y121" s="17"/>
      <c r="Z121" s="17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12">
        <f t="shared" ref="AK121" si="225">IF(((M121*N121)-Q121-R121-S121+T121+U121)=0,"",((M121*N121)-Q121-R121-S121+T121+U121))</f>
        <v>0.84000000000000052</v>
      </c>
      <c r="AL121" s="12">
        <f t="shared" ref="AL121" si="226">IF(PRODUCT(P121,AK121)=0,"",P121*AK121)</f>
        <v>0.84000000000000052</v>
      </c>
      <c r="AM121" s="12">
        <f t="shared" ref="AM121" si="227">IF(PRODUCT(AK121,O121)=0,"",AK121*O121)</f>
        <v>8.4000000000000061E-2</v>
      </c>
      <c r="AN121" s="12">
        <f t="shared" ref="AN121" si="228">IF(PRODUCT(AM121,P121)=0,"",AM121*P121)</f>
        <v>8.4000000000000061E-2</v>
      </c>
      <c r="AO121" s="12" t="str">
        <f t="shared" ref="AO121" si="229">IF(N121*V121-W121+X121=0,"",N121*V121-W121+X121)</f>
        <v/>
      </c>
      <c r="AP121" s="12">
        <f t="shared" ref="AP121" si="230">IF(PRODUCT(M121,P121)=0,"",M121*P121)</f>
        <v>0.8</v>
      </c>
      <c r="AQ121" s="12" t="str">
        <f t="shared" ref="AQ121" si="231">IF(AA121+AB121=0,"",AA121+AB121)</f>
        <v/>
      </c>
      <c r="AR121" s="12" t="str">
        <f t="shared" ref="AR121" si="232">IF(AC121+AD121=0,"",AC121+AD121)</f>
        <v/>
      </c>
      <c r="AS121" s="12" t="str">
        <f t="shared" ref="AS121" si="233">IF((AE121*AH121*AI121)*P121=0,"",(AE121*AH121*AI121)*P121)</f>
        <v/>
      </c>
      <c r="AT121" s="12" t="str">
        <f t="shared" ref="AT121" si="234">IF(AJ121*P121=0,"",AJ121*P121)</f>
        <v/>
      </c>
      <c r="AU121" s="12" t="str">
        <f t="shared" ref="AU121" si="235">IF(OR(H121="s1",H121="s2",H121="s3",H121="s4",H121="s4*",H121="s5",H121="s12",H121="s16"),IF(M121&gt;=4,M121,""),"")</f>
        <v/>
      </c>
      <c r="AV121" s="17"/>
      <c r="AX121" s="4"/>
    </row>
    <row r="122" spans="1:50" x14ac:dyDescent="0.25">
      <c r="A122" s="43" t="s">
        <v>275</v>
      </c>
      <c r="B122" s="52" t="s">
        <v>528</v>
      </c>
      <c r="C122" s="44"/>
      <c r="D122" s="43"/>
      <c r="E122" s="52" t="s">
        <v>529</v>
      </c>
      <c r="F122" s="46"/>
      <c r="G122" s="76" t="s">
        <v>570</v>
      </c>
      <c r="H122" s="48" t="s">
        <v>1093</v>
      </c>
      <c r="I122" s="48"/>
      <c r="J122" s="84" t="s">
        <v>1132</v>
      </c>
      <c r="K122" s="85"/>
      <c r="L122" s="47"/>
      <c r="M122" s="3">
        <v>4.1500000000000004</v>
      </c>
      <c r="N122" s="3">
        <f t="shared" si="190"/>
        <v>3.5500000000000003</v>
      </c>
      <c r="O122" s="22">
        <v>0.1</v>
      </c>
      <c r="P122" s="23">
        <v>1</v>
      </c>
      <c r="Q122" s="3"/>
      <c r="R122" s="3"/>
      <c r="S122" s="3"/>
      <c r="T122" s="3"/>
      <c r="U122" s="3"/>
      <c r="V122" s="23"/>
      <c r="W122" s="3"/>
      <c r="X122" s="3"/>
      <c r="Y122" s="17"/>
      <c r="Z122" s="17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12">
        <f t="shared" si="202"/>
        <v>14.732500000000002</v>
      </c>
      <c r="AL122" s="12">
        <f t="shared" si="203"/>
        <v>14.732500000000002</v>
      </c>
      <c r="AM122" s="12">
        <f t="shared" si="204"/>
        <v>1.4732500000000002</v>
      </c>
      <c r="AN122" s="12">
        <f t="shared" si="205"/>
        <v>1.4732500000000002</v>
      </c>
      <c r="AO122" s="12" t="str">
        <f t="shared" si="206"/>
        <v/>
      </c>
      <c r="AP122" s="12">
        <f t="shared" si="207"/>
        <v>4.1500000000000004</v>
      </c>
      <c r="AQ122" s="12" t="str">
        <f t="shared" si="208"/>
        <v/>
      </c>
      <c r="AR122" s="12" t="str">
        <f t="shared" si="209"/>
        <v/>
      </c>
      <c r="AS122" s="12" t="str">
        <f t="shared" si="210"/>
        <v/>
      </c>
      <c r="AT122" s="12" t="str">
        <f t="shared" si="211"/>
        <v/>
      </c>
      <c r="AU122" s="12" t="str">
        <f t="shared" si="212"/>
        <v/>
      </c>
      <c r="AV122" s="17"/>
      <c r="AX122" s="4"/>
    </row>
    <row r="123" spans="1:50" x14ac:dyDescent="0.25">
      <c r="A123" s="43" t="s">
        <v>275</v>
      </c>
      <c r="B123" s="52" t="s">
        <v>529</v>
      </c>
      <c r="C123" s="44"/>
      <c r="D123" s="43"/>
      <c r="E123" s="52" t="s">
        <v>530</v>
      </c>
      <c r="F123" s="46"/>
      <c r="G123" s="76" t="s">
        <v>571</v>
      </c>
      <c r="H123" s="48" t="s">
        <v>1093</v>
      </c>
      <c r="I123" s="48"/>
      <c r="J123" s="84" t="s">
        <v>1131</v>
      </c>
      <c r="K123" s="85"/>
      <c r="L123" s="47"/>
      <c r="M123" s="3">
        <v>4.1500000000000004</v>
      </c>
      <c r="N123" s="3">
        <f t="shared" si="190"/>
        <v>3.5500000000000003</v>
      </c>
      <c r="O123" s="22">
        <v>0.1</v>
      </c>
      <c r="P123" s="23">
        <v>1</v>
      </c>
      <c r="Q123" s="3"/>
      <c r="R123" s="3"/>
      <c r="S123" s="3"/>
      <c r="T123" s="3"/>
      <c r="U123" s="3"/>
      <c r="V123" s="23"/>
      <c r="W123" s="3"/>
      <c r="X123" s="3"/>
      <c r="Y123" s="17"/>
      <c r="Z123" s="17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12">
        <f t="shared" si="202"/>
        <v>14.732500000000002</v>
      </c>
      <c r="AL123" s="12">
        <f t="shared" si="203"/>
        <v>14.732500000000002</v>
      </c>
      <c r="AM123" s="12">
        <f t="shared" si="204"/>
        <v>1.4732500000000002</v>
      </c>
      <c r="AN123" s="12">
        <f t="shared" si="205"/>
        <v>1.4732500000000002</v>
      </c>
      <c r="AO123" s="12" t="str">
        <f t="shared" si="206"/>
        <v/>
      </c>
      <c r="AP123" s="12">
        <f t="shared" si="207"/>
        <v>4.1500000000000004</v>
      </c>
      <c r="AQ123" s="12" t="str">
        <f t="shared" si="208"/>
        <v/>
      </c>
      <c r="AR123" s="12" t="str">
        <f t="shared" si="209"/>
        <v/>
      </c>
      <c r="AS123" s="12" t="str">
        <f t="shared" si="210"/>
        <v/>
      </c>
      <c r="AT123" s="12" t="str">
        <f t="shared" si="211"/>
        <v/>
      </c>
      <c r="AU123" s="12" t="str">
        <f t="shared" si="212"/>
        <v/>
      </c>
      <c r="AV123" s="17"/>
      <c r="AX123" s="4"/>
    </row>
    <row r="124" spans="1:50" x14ac:dyDescent="0.25">
      <c r="A124" s="43" t="s">
        <v>275</v>
      </c>
      <c r="B124" s="52" t="s">
        <v>529</v>
      </c>
      <c r="C124" s="44"/>
      <c r="D124" s="43"/>
      <c r="E124" s="52"/>
      <c r="F124" s="46"/>
      <c r="G124" s="76" t="s">
        <v>572</v>
      </c>
      <c r="H124" s="48" t="s">
        <v>1090</v>
      </c>
      <c r="I124" s="48"/>
      <c r="J124" s="84" t="s">
        <v>1131</v>
      </c>
      <c r="K124" s="85"/>
      <c r="L124" s="47" t="s">
        <v>644</v>
      </c>
      <c r="M124" s="3">
        <v>1.25</v>
      </c>
      <c r="N124" s="3">
        <f t="shared" si="190"/>
        <v>3.5500000000000003</v>
      </c>
      <c r="O124" s="22">
        <v>0.25</v>
      </c>
      <c r="P124" s="23">
        <v>1</v>
      </c>
      <c r="Q124" s="3"/>
      <c r="R124" s="3"/>
      <c r="S124" s="3"/>
      <c r="T124" s="3"/>
      <c r="U124" s="3"/>
      <c r="V124" s="23"/>
      <c r="W124" s="3"/>
      <c r="X124" s="3"/>
      <c r="Y124" s="17"/>
      <c r="Z124" s="17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12">
        <f t="shared" si="202"/>
        <v>4.4375</v>
      </c>
      <c r="AL124" s="12">
        <f t="shared" si="203"/>
        <v>4.4375</v>
      </c>
      <c r="AM124" s="12">
        <f t="shared" si="204"/>
        <v>1.109375</v>
      </c>
      <c r="AN124" s="12">
        <f t="shared" si="205"/>
        <v>1.109375</v>
      </c>
      <c r="AO124" s="12" t="str">
        <f t="shared" si="206"/>
        <v/>
      </c>
      <c r="AP124" s="12">
        <f t="shared" si="207"/>
        <v>1.25</v>
      </c>
      <c r="AQ124" s="12" t="str">
        <f t="shared" si="208"/>
        <v/>
      </c>
      <c r="AR124" s="12" t="str">
        <f t="shared" si="209"/>
        <v/>
      </c>
      <c r="AS124" s="12" t="str">
        <f t="shared" si="210"/>
        <v/>
      </c>
      <c r="AT124" s="12" t="str">
        <f t="shared" si="211"/>
        <v/>
      </c>
      <c r="AU124" s="12" t="str">
        <f t="shared" si="212"/>
        <v/>
      </c>
      <c r="AV124" s="17"/>
      <c r="AX124" s="4"/>
    </row>
    <row r="125" spans="1:50" x14ac:dyDescent="0.25">
      <c r="A125" s="43" t="s">
        <v>275</v>
      </c>
      <c r="B125" s="52" t="s">
        <v>530</v>
      </c>
      <c r="C125" s="44"/>
      <c r="D125" s="43"/>
      <c r="E125" s="52"/>
      <c r="F125" s="46"/>
      <c r="G125" s="76" t="s">
        <v>573</v>
      </c>
      <c r="H125" s="48" t="s">
        <v>1090</v>
      </c>
      <c r="I125" s="48"/>
      <c r="J125" s="84" t="s">
        <v>1131</v>
      </c>
      <c r="K125" s="85"/>
      <c r="L125" s="47" t="s">
        <v>644</v>
      </c>
      <c r="M125" s="3">
        <v>1.9</v>
      </c>
      <c r="N125" s="3">
        <f t="shared" si="190"/>
        <v>3.5500000000000003</v>
      </c>
      <c r="O125" s="22">
        <v>0.25</v>
      </c>
      <c r="P125" s="23">
        <v>1</v>
      </c>
      <c r="Q125" s="3"/>
      <c r="R125" s="3"/>
      <c r="S125" s="3"/>
      <c r="T125" s="3"/>
      <c r="U125" s="3"/>
      <c r="V125" s="23"/>
      <c r="W125" s="3"/>
      <c r="X125" s="3"/>
      <c r="Y125" s="17"/>
      <c r="Z125" s="17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12">
        <f t="shared" si="202"/>
        <v>6.7450000000000001</v>
      </c>
      <c r="AL125" s="12">
        <f t="shared" si="203"/>
        <v>6.7450000000000001</v>
      </c>
      <c r="AM125" s="12">
        <f t="shared" si="204"/>
        <v>1.68625</v>
      </c>
      <c r="AN125" s="12">
        <f t="shared" si="205"/>
        <v>1.68625</v>
      </c>
      <c r="AO125" s="12" t="str">
        <f t="shared" si="206"/>
        <v/>
      </c>
      <c r="AP125" s="12">
        <f t="shared" si="207"/>
        <v>1.9</v>
      </c>
      <c r="AQ125" s="12" t="str">
        <f t="shared" si="208"/>
        <v/>
      </c>
      <c r="AR125" s="12" t="str">
        <f t="shared" si="209"/>
        <v/>
      </c>
      <c r="AS125" s="12" t="str">
        <f t="shared" si="210"/>
        <v/>
      </c>
      <c r="AT125" s="12" t="str">
        <f t="shared" si="211"/>
        <v/>
      </c>
      <c r="AU125" s="12" t="str">
        <f t="shared" si="212"/>
        <v/>
      </c>
      <c r="AV125" s="17"/>
      <c r="AX125" s="4"/>
    </row>
    <row r="126" spans="1:50" x14ac:dyDescent="0.25">
      <c r="A126" s="43" t="s">
        <v>275</v>
      </c>
      <c r="B126" s="52" t="s">
        <v>531</v>
      </c>
      <c r="C126" s="44"/>
      <c r="D126" s="43"/>
      <c r="E126" s="52" t="s">
        <v>532</v>
      </c>
      <c r="F126" s="46"/>
      <c r="G126" s="76" t="s">
        <v>574</v>
      </c>
      <c r="H126" s="48" t="s">
        <v>1097</v>
      </c>
      <c r="I126" s="48"/>
      <c r="J126" s="84" t="s">
        <v>1125</v>
      </c>
      <c r="K126" s="85"/>
      <c r="L126" s="47"/>
      <c r="M126" s="3">
        <v>4.6500000000000004</v>
      </c>
      <c r="N126" s="3">
        <f t="shared" si="190"/>
        <v>3.5500000000000003</v>
      </c>
      <c r="O126" s="22">
        <v>0.1</v>
      </c>
      <c r="P126" s="23">
        <v>1</v>
      </c>
      <c r="Q126" s="3"/>
      <c r="R126" s="3">
        <f>0.9*2.25</f>
        <v>2.0249999999999999</v>
      </c>
      <c r="S126" s="3"/>
      <c r="T126" s="3"/>
      <c r="U126" s="3"/>
      <c r="V126" s="23"/>
      <c r="W126" s="3"/>
      <c r="X126" s="3"/>
      <c r="Y126" s="17"/>
      <c r="Z126" s="17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12">
        <f t="shared" si="202"/>
        <v>14.482500000000003</v>
      </c>
      <c r="AL126" s="12">
        <f t="shared" si="203"/>
        <v>14.482500000000003</v>
      </c>
      <c r="AM126" s="12">
        <f t="shared" si="204"/>
        <v>1.4482500000000005</v>
      </c>
      <c r="AN126" s="12">
        <f t="shared" si="205"/>
        <v>1.4482500000000005</v>
      </c>
      <c r="AO126" s="12" t="str">
        <f t="shared" si="206"/>
        <v/>
      </c>
      <c r="AP126" s="12">
        <f t="shared" si="207"/>
        <v>4.6500000000000004</v>
      </c>
      <c r="AQ126" s="12" t="str">
        <f t="shared" si="208"/>
        <v/>
      </c>
      <c r="AR126" s="12" t="str">
        <f t="shared" si="209"/>
        <v/>
      </c>
      <c r="AS126" s="12" t="str">
        <f t="shared" si="210"/>
        <v/>
      </c>
      <c r="AT126" s="12" t="str">
        <f t="shared" si="211"/>
        <v/>
      </c>
      <c r="AU126" s="12" t="str">
        <f t="shared" si="212"/>
        <v/>
      </c>
      <c r="AV126" s="17"/>
      <c r="AX126" s="4"/>
    </row>
    <row r="127" spans="1:50" x14ac:dyDescent="0.25">
      <c r="A127" s="43" t="s">
        <v>275</v>
      </c>
      <c r="B127" s="52" t="s">
        <v>531</v>
      </c>
      <c r="C127" s="44"/>
      <c r="D127" s="43"/>
      <c r="E127" s="52" t="s">
        <v>517</v>
      </c>
      <c r="F127" s="46"/>
      <c r="G127" s="76" t="s">
        <v>575</v>
      </c>
      <c r="H127" s="48" t="s">
        <v>1094</v>
      </c>
      <c r="I127" s="48"/>
      <c r="J127" s="84"/>
      <c r="K127" s="85"/>
      <c r="L127" s="47"/>
      <c r="M127" s="3">
        <v>1.1000000000000001</v>
      </c>
      <c r="N127" s="3">
        <f t="shared" si="190"/>
        <v>3.5500000000000003</v>
      </c>
      <c r="O127" s="22">
        <v>0.24</v>
      </c>
      <c r="P127" s="23">
        <v>1</v>
      </c>
      <c r="Q127" s="3"/>
      <c r="R127" s="3"/>
      <c r="S127" s="3"/>
      <c r="T127" s="3"/>
      <c r="U127" s="3"/>
      <c r="V127" s="23"/>
      <c r="W127" s="3"/>
      <c r="X127" s="3"/>
      <c r="Y127" s="17"/>
      <c r="Z127" s="17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12">
        <f t="shared" si="202"/>
        <v>3.9050000000000007</v>
      </c>
      <c r="AL127" s="12">
        <f t="shared" si="203"/>
        <v>3.9050000000000007</v>
      </c>
      <c r="AM127" s="12">
        <f t="shared" si="204"/>
        <v>0.93720000000000014</v>
      </c>
      <c r="AN127" s="12">
        <f t="shared" si="205"/>
        <v>0.93720000000000014</v>
      </c>
      <c r="AO127" s="12" t="str">
        <f t="shared" si="206"/>
        <v/>
      </c>
      <c r="AP127" s="12">
        <f t="shared" si="207"/>
        <v>1.1000000000000001</v>
      </c>
      <c r="AQ127" s="12" t="str">
        <f t="shared" si="208"/>
        <v/>
      </c>
      <c r="AR127" s="12" t="str">
        <f t="shared" si="209"/>
        <v/>
      </c>
      <c r="AS127" s="12" t="str">
        <f t="shared" si="210"/>
        <v/>
      </c>
      <c r="AT127" s="12" t="str">
        <f t="shared" si="211"/>
        <v/>
      </c>
      <c r="AU127" s="12" t="str">
        <f t="shared" si="212"/>
        <v/>
      </c>
      <c r="AV127" s="17"/>
      <c r="AX127" s="4"/>
    </row>
    <row r="128" spans="1:50" x14ac:dyDescent="0.25">
      <c r="A128" s="43" t="s">
        <v>275</v>
      </c>
      <c r="B128" s="52" t="s">
        <v>585</v>
      </c>
      <c r="C128" s="44"/>
      <c r="D128" s="43"/>
      <c r="E128" s="52" t="s">
        <v>521</v>
      </c>
      <c r="F128" s="46"/>
      <c r="G128" s="76" t="s">
        <v>576</v>
      </c>
      <c r="H128" s="48" t="s">
        <v>1097</v>
      </c>
      <c r="I128" s="48"/>
      <c r="J128" s="84" t="s">
        <v>1125</v>
      </c>
      <c r="K128" s="85"/>
      <c r="L128" s="47"/>
      <c r="M128" s="3">
        <v>2.4</v>
      </c>
      <c r="N128" s="3">
        <f>3.35+0.2-0.18</f>
        <v>3.37</v>
      </c>
      <c r="O128" s="22">
        <v>0.15</v>
      </c>
      <c r="P128" s="23">
        <v>1</v>
      </c>
      <c r="Q128" s="3"/>
      <c r="R128" s="3"/>
      <c r="S128" s="3"/>
      <c r="T128" s="3"/>
      <c r="U128" s="3"/>
      <c r="V128" s="23"/>
      <c r="W128" s="3"/>
      <c r="X128" s="3"/>
      <c r="Y128" s="17"/>
      <c r="Z128" s="17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12">
        <f t="shared" si="202"/>
        <v>8.0879999999999992</v>
      </c>
      <c r="AL128" s="12">
        <f t="shared" si="203"/>
        <v>8.0879999999999992</v>
      </c>
      <c r="AM128" s="12">
        <f t="shared" si="204"/>
        <v>1.2131999999999998</v>
      </c>
      <c r="AN128" s="12">
        <f t="shared" si="205"/>
        <v>1.2131999999999998</v>
      </c>
      <c r="AO128" s="12" t="str">
        <f t="shared" si="206"/>
        <v/>
      </c>
      <c r="AP128" s="12">
        <f t="shared" si="207"/>
        <v>2.4</v>
      </c>
      <c r="AQ128" s="12" t="str">
        <f t="shared" si="208"/>
        <v/>
      </c>
      <c r="AR128" s="12" t="str">
        <f t="shared" si="209"/>
        <v/>
      </c>
      <c r="AS128" s="12" t="str">
        <f t="shared" si="210"/>
        <v/>
      </c>
      <c r="AT128" s="12" t="str">
        <f t="shared" si="211"/>
        <v/>
      </c>
      <c r="AU128" s="12" t="str">
        <f t="shared" si="212"/>
        <v/>
      </c>
      <c r="AV128" s="17"/>
      <c r="AX128" s="4"/>
    </row>
    <row r="129" spans="1:50" x14ac:dyDescent="0.25">
      <c r="A129" s="43" t="s">
        <v>275</v>
      </c>
      <c r="B129" s="52" t="s">
        <v>585</v>
      </c>
      <c r="C129" s="44"/>
      <c r="D129" s="43"/>
      <c r="E129" s="52" t="s">
        <v>521</v>
      </c>
      <c r="F129" s="46"/>
      <c r="G129" s="76" t="s">
        <v>577</v>
      </c>
      <c r="H129" s="48" t="s">
        <v>1090</v>
      </c>
      <c r="I129" s="48"/>
      <c r="J129" s="84" t="s">
        <v>1125</v>
      </c>
      <c r="K129" s="85"/>
      <c r="L129" s="47" t="s">
        <v>586</v>
      </c>
      <c r="M129" s="3">
        <f>0.2+0.24</f>
        <v>0.44</v>
      </c>
      <c r="N129" s="3">
        <f t="shared" si="190"/>
        <v>3.5500000000000003</v>
      </c>
      <c r="O129" s="22">
        <v>0.05</v>
      </c>
      <c r="P129" s="23">
        <v>1</v>
      </c>
      <c r="Q129" s="3"/>
      <c r="R129" s="3"/>
      <c r="S129" s="3"/>
      <c r="T129" s="3"/>
      <c r="U129" s="3"/>
      <c r="V129" s="23"/>
      <c r="W129" s="3"/>
      <c r="X129" s="3"/>
      <c r="Y129" s="17"/>
      <c r="Z129" s="17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12">
        <f t="shared" si="202"/>
        <v>1.5620000000000001</v>
      </c>
      <c r="AL129" s="12">
        <f t="shared" si="203"/>
        <v>1.5620000000000001</v>
      </c>
      <c r="AM129" s="12">
        <f t="shared" si="204"/>
        <v>7.8100000000000003E-2</v>
      </c>
      <c r="AN129" s="12">
        <f t="shared" si="205"/>
        <v>7.8100000000000003E-2</v>
      </c>
      <c r="AO129" s="12" t="str">
        <f t="shared" si="206"/>
        <v/>
      </c>
      <c r="AP129" s="12">
        <f t="shared" si="207"/>
        <v>0.44</v>
      </c>
      <c r="AQ129" s="12" t="str">
        <f t="shared" si="208"/>
        <v/>
      </c>
      <c r="AR129" s="12" t="str">
        <f t="shared" si="209"/>
        <v/>
      </c>
      <c r="AS129" s="12" t="str">
        <f t="shared" si="210"/>
        <v/>
      </c>
      <c r="AT129" s="12" t="str">
        <f t="shared" si="211"/>
        <v/>
      </c>
      <c r="AU129" s="12" t="str">
        <f t="shared" si="212"/>
        <v/>
      </c>
      <c r="AV129" s="17"/>
      <c r="AX129" s="4"/>
    </row>
    <row r="130" spans="1:50" x14ac:dyDescent="0.25">
      <c r="A130" s="43" t="s">
        <v>275</v>
      </c>
      <c r="B130" s="52" t="s">
        <v>585</v>
      </c>
      <c r="C130" s="44"/>
      <c r="D130" s="43"/>
      <c r="E130" s="52"/>
      <c r="F130" s="46"/>
      <c r="G130" s="76" t="s">
        <v>578</v>
      </c>
      <c r="H130" s="48" t="s">
        <v>1093</v>
      </c>
      <c r="I130" s="48"/>
      <c r="J130" s="84" t="s">
        <v>1125</v>
      </c>
      <c r="K130" s="85"/>
      <c r="L130" s="47" t="s">
        <v>536</v>
      </c>
      <c r="M130" s="3">
        <v>1</v>
      </c>
      <c r="N130" s="3">
        <f>0.491+0.2</f>
        <v>0.69100000000000006</v>
      </c>
      <c r="O130" s="22">
        <v>0.1</v>
      </c>
      <c r="P130" s="23">
        <v>1</v>
      </c>
      <c r="Q130" s="3"/>
      <c r="R130" s="3"/>
      <c r="S130" s="3"/>
      <c r="T130" s="3"/>
      <c r="U130" s="3"/>
      <c r="V130" s="23"/>
      <c r="W130" s="3"/>
      <c r="X130" s="3"/>
      <c r="Y130" s="17"/>
      <c r="Z130" s="17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12">
        <f t="shared" si="202"/>
        <v>0.69100000000000006</v>
      </c>
      <c r="AL130" s="12">
        <f t="shared" si="203"/>
        <v>0.69100000000000006</v>
      </c>
      <c r="AM130" s="12">
        <f t="shared" si="204"/>
        <v>6.9100000000000009E-2</v>
      </c>
      <c r="AN130" s="12">
        <f t="shared" si="205"/>
        <v>6.9100000000000009E-2</v>
      </c>
      <c r="AO130" s="12" t="str">
        <f t="shared" si="206"/>
        <v/>
      </c>
      <c r="AP130" s="12">
        <f t="shared" si="207"/>
        <v>1</v>
      </c>
      <c r="AQ130" s="12" t="str">
        <f t="shared" si="208"/>
        <v/>
      </c>
      <c r="AR130" s="12" t="str">
        <f t="shared" si="209"/>
        <v/>
      </c>
      <c r="AS130" s="12" t="str">
        <f t="shared" si="210"/>
        <v/>
      </c>
      <c r="AT130" s="12" t="str">
        <f t="shared" si="211"/>
        <v/>
      </c>
      <c r="AU130" s="12" t="str">
        <f t="shared" si="212"/>
        <v/>
      </c>
      <c r="AV130" s="17"/>
      <c r="AX130" s="4"/>
    </row>
    <row r="131" spans="1:50" x14ac:dyDescent="0.25">
      <c r="A131" s="43" t="s">
        <v>275</v>
      </c>
      <c r="B131" s="52" t="s">
        <v>585</v>
      </c>
      <c r="C131" s="44"/>
      <c r="D131" s="43"/>
      <c r="E131" s="52"/>
      <c r="F131" s="46"/>
      <c r="G131" s="76" t="s">
        <v>579</v>
      </c>
      <c r="H131" s="48" t="s">
        <v>1093</v>
      </c>
      <c r="I131" s="48"/>
      <c r="J131" s="84" t="s">
        <v>1125</v>
      </c>
      <c r="K131" s="85"/>
      <c r="L131" s="47" t="s">
        <v>536</v>
      </c>
      <c r="M131" s="3">
        <f>1.2+1.6</f>
        <v>2.8</v>
      </c>
      <c r="N131" s="3">
        <f>(0.691+2.23)/2</f>
        <v>1.4604999999999999</v>
      </c>
      <c r="O131" s="22">
        <v>0.1</v>
      </c>
      <c r="P131" s="23">
        <v>1</v>
      </c>
      <c r="Q131" s="3"/>
      <c r="R131" s="3"/>
      <c r="S131" s="3"/>
      <c r="T131" s="3"/>
      <c r="U131" s="3"/>
      <c r="V131" s="23"/>
      <c r="W131" s="3"/>
      <c r="X131" s="3"/>
      <c r="Y131" s="17"/>
      <c r="Z131" s="17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12">
        <f t="shared" si="202"/>
        <v>4.0893999999999995</v>
      </c>
      <c r="AL131" s="12">
        <f t="shared" si="203"/>
        <v>4.0893999999999995</v>
      </c>
      <c r="AM131" s="12">
        <f t="shared" si="204"/>
        <v>0.40893999999999997</v>
      </c>
      <c r="AN131" s="12">
        <f t="shared" si="205"/>
        <v>0.40893999999999997</v>
      </c>
      <c r="AO131" s="12" t="str">
        <f t="shared" si="206"/>
        <v/>
      </c>
      <c r="AP131" s="12">
        <f t="shared" si="207"/>
        <v>2.8</v>
      </c>
      <c r="AQ131" s="12" t="str">
        <f t="shared" si="208"/>
        <v/>
      </c>
      <c r="AR131" s="12" t="str">
        <f t="shared" si="209"/>
        <v/>
      </c>
      <c r="AS131" s="12" t="str">
        <f t="shared" si="210"/>
        <v/>
      </c>
      <c r="AT131" s="12" t="str">
        <f t="shared" si="211"/>
        <v/>
      </c>
      <c r="AU131" s="12" t="str">
        <f t="shared" si="212"/>
        <v/>
      </c>
      <c r="AV131" s="17"/>
      <c r="AX131" s="4"/>
    </row>
    <row r="132" spans="1:50" x14ac:dyDescent="0.25">
      <c r="A132" s="43" t="s">
        <v>275</v>
      </c>
      <c r="B132" s="52" t="s">
        <v>585</v>
      </c>
      <c r="C132" s="44"/>
      <c r="D132" s="43"/>
      <c r="E132" s="52"/>
      <c r="F132" s="46"/>
      <c r="G132" s="76" t="s">
        <v>580</v>
      </c>
      <c r="H132" s="48" t="s">
        <v>1093</v>
      </c>
      <c r="I132" s="48"/>
      <c r="J132" s="84" t="s">
        <v>1125</v>
      </c>
      <c r="K132" s="85"/>
      <c r="L132" s="47" t="s">
        <v>536</v>
      </c>
      <c r="M132" s="3">
        <v>1.3</v>
      </c>
      <c r="N132" s="3">
        <v>2.23</v>
      </c>
      <c r="O132" s="22">
        <v>0.1</v>
      </c>
      <c r="P132" s="23">
        <v>1</v>
      </c>
      <c r="Q132" s="3"/>
      <c r="R132" s="3"/>
      <c r="S132" s="3"/>
      <c r="T132" s="3"/>
      <c r="U132" s="3"/>
      <c r="V132" s="23"/>
      <c r="W132" s="3"/>
      <c r="X132" s="3"/>
      <c r="Y132" s="17"/>
      <c r="Z132" s="17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12">
        <f t="shared" si="202"/>
        <v>2.899</v>
      </c>
      <c r="AL132" s="12">
        <f t="shared" si="203"/>
        <v>2.899</v>
      </c>
      <c r="AM132" s="12">
        <f t="shared" si="204"/>
        <v>0.28989999999999999</v>
      </c>
      <c r="AN132" s="12">
        <f t="shared" si="205"/>
        <v>0.28989999999999999</v>
      </c>
      <c r="AO132" s="12" t="str">
        <f t="shared" si="206"/>
        <v/>
      </c>
      <c r="AP132" s="12">
        <f t="shared" si="207"/>
        <v>1.3</v>
      </c>
      <c r="AQ132" s="12" t="str">
        <f t="shared" si="208"/>
        <v/>
      </c>
      <c r="AR132" s="12" t="str">
        <f t="shared" si="209"/>
        <v/>
      </c>
      <c r="AS132" s="12" t="str">
        <f t="shared" si="210"/>
        <v/>
      </c>
      <c r="AT132" s="12" t="str">
        <f t="shared" si="211"/>
        <v/>
      </c>
      <c r="AU132" s="12" t="str">
        <f t="shared" si="212"/>
        <v/>
      </c>
      <c r="AV132" s="17"/>
      <c r="AX132" s="4"/>
    </row>
    <row r="133" spans="1:50" x14ac:dyDescent="0.25">
      <c r="A133" s="43" t="s">
        <v>275</v>
      </c>
      <c r="B133" s="52" t="s">
        <v>585</v>
      </c>
      <c r="C133" s="44"/>
      <c r="D133" s="43"/>
      <c r="E133" s="52" t="s">
        <v>620</v>
      </c>
      <c r="F133" s="46"/>
      <c r="G133" s="76" t="s">
        <v>581</v>
      </c>
      <c r="H133" s="48" t="s">
        <v>1097</v>
      </c>
      <c r="I133" s="48"/>
      <c r="J133" s="84" t="s">
        <v>1125</v>
      </c>
      <c r="K133" s="85"/>
      <c r="L133" s="47" t="s">
        <v>622</v>
      </c>
      <c r="M133" s="3">
        <f>5.45-0.2-M134</f>
        <v>2.7</v>
      </c>
      <c r="N133" s="3">
        <f t="shared" si="190"/>
        <v>3.5500000000000003</v>
      </c>
      <c r="O133" s="22">
        <v>0.15</v>
      </c>
      <c r="P133" s="23">
        <v>1</v>
      </c>
      <c r="Q133" s="3"/>
      <c r="R133" s="3"/>
      <c r="S133" s="3"/>
      <c r="T133" s="3"/>
      <c r="U133" s="3"/>
      <c r="V133" s="23"/>
      <c r="W133" s="3"/>
      <c r="X133" s="3"/>
      <c r="Y133" s="17"/>
      <c r="Z133" s="17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12">
        <f t="shared" si="202"/>
        <v>9.5850000000000009</v>
      </c>
      <c r="AL133" s="12">
        <f t="shared" si="203"/>
        <v>9.5850000000000009</v>
      </c>
      <c r="AM133" s="12">
        <f t="shared" si="204"/>
        <v>1.4377500000000001</v>
      </c>
      <c r="AN133" s="12">
        <f t="shared" si="205"/>
        <v>1.4377500000000001</v>
      </c>
      <c r="AO133" s="12" t="str">
        <f t="shared" si="206"/>
        <v/>
      </c>
      <c r="AP133" s="12">
        <f t="shared" si="207"/>
        <v>2.7</v>
      </c>
      <c r="AQ133" s="12" t="str">
        <f t="shared" si="208"/>
        <v/>
      </c>
      <c r="AR133" s="12" t="str">
        <f t="shared" si="209"/>
        <v/>
      </c>
      <c r="AS133" s="12" t="str">
        <f t="shared" si="210"/>
        <v/>
      </c>
      <c r="AT133" s="12" t="str">
        <f t="shared" si="211"/>
        <v/>
      </c>
      <c r="AU133" s="12" t="str">
        <f t="shared" si="212"/>
        <v/>
      </c>
      <c r="AV133" s="17"/>
      <c r="AX133" s="4"/>
    </row>
    <row r="134" spans="1:50" x14ac:dyDescent="0.25">
      <c r="A134" s="43" t="s">
        <v>275</v>
      </c>
      <c r="B134" s="52" t="s">
        <v>585</v>
      </c>
      <c r="C134" s="44"/>
      <c r="D134" s="43"/>
      <c r="E134" s="52" t="s">
        <v>620</v>
      </c>
      <c r="F134" s="46"/>
      <c r="G134" s="76" t="s">
        <v>1134</v>
      </c>
      <c r="H134" s="48" t="s">
        <v>1097</v>
      </c>
      <c r="I134" s="48"/>
      <c r="J134" s="84" t="s">
        <v>1130</v>
      </c>
      <c r="K134" s="85"/>
      <c r="L134" s="47" t="s">
        <v>622</v>
      </c>
      <c r="M134" s="3">
        <v>2.5499999999999998</v>
      </c>
      <c r="N134" s="3">
        <f t="shared" si="190"/>
        <v>3.5500000000000003</v>
      </c>
      <c r="O134" s="22">
        <v>0.15</v>
      </c>
      <c r="P134" s="23">
        <v>1</v>
      </c>
      <c r="Q134" s="3"/>
      <c r="R134" s="3"/>
      <c r="S134" s="3"/>
      <c r="T134" s="3"/>
      <c r="U134" s="3"/>
      <c r="V134" s="23"/>
      <c r="W134" s="3"/>
      <c r="X134" s="3"/>
      <c r="Y134" s="17"/>
      <c r="Z134" s="17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12">
        <f t="shared" ref="AK134" si="236">IF(((M134*N134)-Q134-R134-S134+T134+U134)=0,"",((M134*N134)-Q134-R134-S134+T134+U134))</f>
        <v>9.0525000000000002</v>
      </c>
      <c r="AL134" s="12">
        <f t="shared" ref="AL134" si="237">IF(PRODUCT(P134,AK134)=0,"",P134*AK134)</f>
        <v>9.0525000000000002</v>
      </c>
      <c r="AM134" s="12">
        <f t="shared" ref="AM134" si="238">IF(PRODUCT(AK134,O134)=0,"",AK134*O134)</f>
        <v>1.3578749999999999</v>
      </c>
      <c r="AN134" s="12">
        <f t="shared" ref="AN134" si="239">IF(PRODUCT(AM134,P134)=0,"",AM134*P134)</f>
        <v>1.3578749999999999</v>
      </c>
      <c r="AO134" s="12" t="str">
        <f t="shared" ref="AO134" si="240">IF(N134*V134-W134+X134=0,"",N134*V134-W134+X134)</f>
        <v/>
      </c>
      <c r="AP134" s="12">
        <f t="shared" ref="AP134" si="241">IF(PRODUCT(M134,P134)=0,"",M134*P134)</f>
        <v>2.5499999999999998</v>
      </c>
      <c r="AQ134" s="12" t="str">
        <f t="shared" ref="AQ134" si="242">IF(AA134+AB134=0,"",AA134+AB134)</f>
        <v/>
      </c>
      <c r="AR134" s="12" t="str">
        <f t="shared" ref="AR134" si="243">IF(AC134+AD134=0,"",AC134+AD134)</f>
        <v/>
      </c>
      <c r="AS134" s="12" t="str">
        <f t="shared" ref="AS134" si="244">IF((AE134*AH134*AI134)*P134=0,"",(AE134*AH134*AI134)*P134)</f>
        <v/>
      </c>
      <c r="AT134" s="12" t="str">
        <f t="shared" ref="AT134" si="245">IF(AJ134*P134=0,"",AJ134*P134)</f>
        <v/>
      </c>
      <c r="AU134" s="12" t="str">
        <f t="shared" ref="AU134" si="246">IF(OR(H134="s1",H134="s2",H134="s3",H134="s4",H134="s4*",H134="s5",H134="s12",H134="s16"),IF(M134&gt;=4,M134,""),"")</f>
        <v/>
      </c>
      <c r="AV134" s="17"/>
      <c r="AX134" s="4"/>
    </row>
    <row r="135" spans="1:50" x14ac:dyDescent="0.25">
      <c r="A135" s="43" t="s">
        <v>275</v>
      </c>
      <c r="B135" s="52" t="s">
        <v>620</v>
      </c>
      <c r="C135" s="44"/>
      <c r="D135" s="43"/>
      <c r="E135" s="52" t="s">
        <v>621</v>
      </c>
      <c r="F135" s="46"/>
      <c r="G135" s="76" t="s">
        <v>582</v>
      </c>
      <c r="H135" s="48" t="s">
        <v>1097</v>
      </c>
      <c r="I135" s="48"/>
      <c r="J135" s="84" t="s">
        <v>1125</v>
      </c>
      <c r="K135" s="85"/>
      <c r="L135" s="47" t="s">
        <v>622</v>
      </c>
      <c r="M135" s="3">
        <f>5.45-0.2</f>
        <v>5.25</v>
      </c>
      <c r="N135" s="3">
        <f t="shared" si="190"/>
        <v>3.5500000000000003</v>
      </c>
      <c r="O135" s="22">
        <v>0.15</v>
      </c>
      <c r="P135" s="23">
        <v>1</v>
      </c>
      <c r="Q135" s="3"/>
      <c r="R135" s="3"/>
      <c r="S135" s="3"/>
      <c r="T135" s="3"/>
      <c r="U135" s="3"/>
      <c r="V135" s="23"/>
      <c r="W135" s="3"/>
      <c r="X135" s="3"/>
      <c r="Y135" s="17"/>
      <c r="Z135" s="17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12">
        <f t="shared" si="202"/>
        <v>18.637500000000003</v>
      </c>
      <c r="AL135" s="12">
        <f t="shared" si="203"/>
        <v>18.637500000000003</v>
      </c>
      <c r="AM135" s="12">
        <f t="shared" si="204"/>
        <v>2.7956250000000002</v>
      </c>
      <c r="AN135" s="12">
        <f t="shared" si="205"/>
        <v>2.7956250000000002</v>
      </c>
      <c r="AO135" s="12" t="str">
        <f t="shared" si="206"/>
        <v/>
      </c>
      <c r="AP135" s="12">
        <f t="shared" si="207"/>
        <v>5.25</v>
      </c>
      <c r="AQ135" s="12" t="str">
        <f t="shared" si="208"/>
        <v/>
      </c>
      <c r="AR135" s="12" t="str">
        <f t="shared" si="209"/>
        <v/>
      </c>
      <c r="AS135" s="12" t="str">
        <f t="shared" si="210"/>
        <v/>
      </c>
      <c r="AT135" s="12" t="str">
        <f t="shared" si="211"/>
        <v/>
      </c>
      <c r="AU135" s="12" t="str">
        <f t="shared" si="212"/>
        <v/>
      </c>
      <c r="AV135" s="17"/>
      <c r="AX135" s="4"/>
    </row>
    <row r="136" spans="1:50" x14ac:dyDescent="0.25">
      <c r="A136" s="43" t="s">
        <v>275</v>
      </c>
      <c r="B136" s="52" t="s">
        <v>621</v>
      </c>
      <c r="C136" s="44"/>
      <c r="D136" s="43"/>
      <c r="E136" s="52" t="s">
        <v>623</v>
      </c>
      <c r="F136" s="46"/>
      <c r="G136" s="76" t="s">
        <v>583</v>
      </c>
      <c r="H136" s="48" t="s">
        <v>1092</v>
      </c>
      <c r="I136" s="48"/>
      <c r="J136" s="84" t="s">
        <v>1125</v>
      </c>
      <c r="K136" s="85"/>
      <c r="L136" s="47" t="s">
        <v>622</v>
      </c>
      <c r="M136" s="3">
        <f>5.45-0.2</f>
        <v>5.25</v>
      </c>
      <c r="N136" s="3">
        <f t="shared" si="190"/>
        <v>3.5500000000000003</v>
      </c>
      <c r="O136" s="22">
        <v>0.2</v>
      </c>
      <c r="P136" s="23">
        <v>1</v>
      </c>
      <c r="Q136" s="3"/>
      <c r="R136" s="3"/>
      <c r="S136" s="3"/>
      <c r="T136" s="3"/>
      <c r="U136" s="3"/>
      <c r="V136" s="23"/>
      <c r="W136" s="3"/>
      <c r="X136" s="3"/>
      <c r="Y136" s="17"/>
      <c r="Z136" s="17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12">
        <f t="shared" si="202"/>
        <v>18.637500000000003</v>
      </c>
      <c r="AL136" s="12">
        <f t="shared" si="203"/>
        <v>18.637500000000003</v>
      </c>
      <c r="AM136" s="12">
        <f t="shared" si="204"/>
        <v>3.7275000000000009</v>
      </c>
      <c r="AN136" s="12">
        <f t="shared" si="205"/>
        <v>3.7275000000000009</v>
      </c>
      <c r="AO136" s="12" t="str">
        <f t="shared" si="206"/>
        <v/>
      </c>
      <c r="AP136" s="12">
        <f t="shared" si="207"/>
        <v>5.25</v>
      </c>
      <c r="AQ136" s="12" t="str">
        <f t="shared" si="208"/>
        <v/>
      </c>
      <c r="AR136" s="12" t="str">
        <f t="shared" si="209"/>
        <v/>
      </c>
      <c r="AS136" s="12" t="str">
        <f t="shared" si="210"/>
        <v/>
      </c>
      <c r="AT136" s="12" t="str">
        <f t="shared" si="211"/>
        <v/>
      </c>
      <c r="AU136" s="12" t="str">
        <f t="shared" si="212"/>
        <v/>
      </c>
      <c r="AV136" s="17"/>
      <c r="AX136" s="4"/>
    </row>
    <row r="137" spans="1:50" x14ac:dyDescent="0.25">
      <c r="A137" s="43" t="s">
        <v>275</v>
      </c>
      <c r="B137" s="52" t="s">
        <v>623</v>
      </c>
      <c r="C137" s="44"/>
      <c r="D137" s="43"/>
      <c r="E137" s="52" t="s">
        <v>624</v>
      </c>
      <c r="F137" s="46"/>
      <c r="G137" s="76" t="s">
        <v>584</v>
      </c>
      <c r="H137" s="48" t="s">
        <v>1100</v>
      </c>
      <c r="I137" s="48"/>
      <c r="J137" s="84"/>
      <c r="K137" s="85"/>
      <c r="L137" s="47" t="s">
        <v>622</v>
      </c>
      <c r="M137" s="3">
        <v>2.54</v>
      </c>
      <c r="N137" s="3">
        <f t="shared" si="190"/>
        <v>3.5500000000000003</v>
      </c>
      <c r="O137" s="22">
        <v>0.19</v>
      </c>
      <c r="P137" s="23">
        <v>1</v>
      </c>
      <c r="Q137" s="3"/>
      <c r="R137" s="3"/>
      <c r="S137" s="3"/>
      <c r="T137" s="3"/>
      <c r="U137" s="3"/>
      <c r="V137" s="23"/>
      <c r="W137" s="3"/>
      <c r="X137" s="3"/>
      <c r="Y137" s="17"/>
      <c r="Z137" s="17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12">
        <f t="shared" si="202"/>
        <v>9.0170000000000012</v>
      </c>
      <c r="AL137" s="12">
        <f t="shared" si="203"/>
        <v>9.0170000000000012</v>
      </c>
      <c r="AM137" s="12">
        <f t="shared" si="204"/>
        <v>1.7132300000000003</v>
      </c>
      <c r="AN137" s="12">
        <f t="shared" si="205"/>
        <v>1.7132300000000003</v>
      </c>
      <c r="AO137" s="12" t="str">
        <f t="shared" si="206"/>
        <v/>
      </c>
      <c r="AP137" s="12">
        <f t="shared" si="207"/>
        <v>2.54</v>
      </c>
      <c r="AQ137" s="12" t="str">
        <f t="shared" si="208"/>
        <v/>
      </c>
      <c r="AR137" s="12" t="str">
        <f t="shared" si="209"/>
        <v/>
      </c>
      <c r="AS137" s="12" t="str">
        <f t="shared" si="210"/>
        <v/>
      </c>
      <c r="AT137" s="12" t="str">
        <f t="shared" si="211"/>
        <v/>
      </c>
      <c r="AU137" s="12" t="str">
        <f t="shared" si="212"/>
        <v/>
      </c>
      <c r="AV137" s="17"/>
      <c r="AX137" s="4"/>
    </row>
    <row r="138" spans="1:50" x14ac:dyDescent="0.25">
      <c r="A138" s="43" t="s">
        <v>275</v>
      </c>
      <c r="B138" s="52" t="s">
        <v>624</v>
      </c>
      <c r="C138" s="44"/>
      <c r="D138" s="43"/>
      <c r="E138" s="52" t="s">
        <v>540</v>
      </c>
      <c r="F138" s="46"/>
      <c r="G138" s="76" t="s">
        <v>587</v>
      </c>
      <c r="H138" s="48" t="s">
        <v>1100</v>
      </c>
      <c r="I138" s="48"/>
      <c r="J138" s="84"/>
      <c r="K138" s="85"/>
      <c r="L138" s="47" t="s">
        <v>622</v>
      </c>
      <c r="M138" s="3">
        <v>2.5499999999999998</v>
      </c>
      <c r="N138" s="3">
        <f t="shared" si="190"/>
        <v>3.5500000000000003</v>
      </c>
      <c r="O138" s="22">
        <v>0.19</v>
      </c>
      <c r="P138" s="23">
        <v>1</v>
      </c>
      <c r="Q138" s="3"/>
      <c r="R138" s="3">
        <f>1*2.28</f>
        <v>2.2799999999999998</v>
      </c>
      <c r="S138" s="3"/>
      <c r="T138" s="3"/>
      <c r="U138" s="3"/>
      <c r="V138" s="23"/>
      <c r="W138" s="3"/>
      <c r="X138" s="3"/>
      <c r="Y138" s="17"/>
      <c r="Z138" s="17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12">
        <f t="shared" si="202"/>
        <v>6.7725000000000009</v>
      </c>
      <c r="AL138" s="12">
        <f t="shared" si="203"/>
        <v>6.7725000000000009</v>
      </c>
      <c r="AM138" s="12">
        <f t="shared" si="204"/>
        <v>1.2867750000000002</v>
      </c>
      <c r="AN138" s="12">
        <f t="shared" si="205"/>
        <v>1.2867750000000002</v>
      </c>
      <c r="AO138" s="12" t="str">
        <f t="shared" si="206"/>
        <v/>
      </c>
      <c r="AP138" s="12">
        <f t="shared" si="207"/>
        <v>2.5499999999999998</v>
      </c>
      <c r="AQ138" s="12" t="str">
        <f t="shared" si="208"/>
        <v/>
      </c>
      <c r="AR138" s="12" t="str">
        <f t="shared" si="209"/>
        <v/>
      </c>
      <c r="AS138" s="12" t="str">
        <f t="shared" si="210"/>
        <v/>
      </c>
      <c r="AT138" s="12" t="str">
        <f t="shared" si="211"/>
        <v/>
      </c>
      <c r="AU138" s="12" t="str">
        <f t="shared" si="212"/>
        <v/>
      </c>
      <c r="AV138" s="17"/>
      <c r="AX138" s="4"/>
    </row>
    <row r="139" spans="1:50" x14ac:dyDescent="0.25">
      <c r="A139" s="43" t="s">
        <v>275</v>
      </c>
      <c r="B139" s="52" t="s">
        <v>626</v>
      </c>
      <c r="C139" s="44"/>
      <c r="D139" s="43"/>
      <c r="E139" s="52" t="s">
        <v>625</v>
      </c>
      <c r="F139" s="46"/>
      <c r="G139" s="76" t="s">
        <v>588</v>
      </c>
      <c r="H139" s="48" t="s">
        <v>1090</v>
      </c>
      <c r="I139" s="48"/>
      <c r="J139" s="84" t="s">
        <v>1125</v>
      </c>
      <c r="K139" s="85"/>
      <c r="L139" s="47" t="s">
        <v>1175</v>
      </c>
      <c r="M139" s="3">
        <f>0.34+4.065+3.675+3.05</f>
        <v>11.129999999999999</v>
      </c>
      <c r="N139" s="3">
        <f t="shared" si="190"/>
        <v>3.5500000000000003</v>
      </c>
      <c r="O139" s="22">
        <v>7.4999999999999997E-2</v>
      </c>
      <c r="P139" s="23">
        <v>1</v>
      </c>
      <c r="Q139" s="3">
        <f>2.25*2.3+3.3*2.3*2</f>
        <v>20.354999999999997</v>
      </c>
      <c r="R139" s="3"/>
      <c r="S139" s="3"/>
      <c r="T139" s="3"/>
      <c r="U139" s="3"/>
      <c r="V139" s="23"/>
      <c r="W139" s="3"/>
      <c r="X139" s="3"/>
      <c r="Y139" s="17"/>
      <c r="Z139" s="17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12">
        <f t="shared" si="202"/>
        <v>19.156500000000001</v>
      </c>
      <c r="AL139" s="12">
        <f t="shared" si="203"/>
        <v>19.156500000000001</v>
      </c>
      <c r="AM139" s="12">
        <f t="shared" si="204"/>
        <v>1.4367375</v>
      </c>
      <c r="AN139" s="12">
        <f t="shared" si="205"/>
        <v>1.4367375</v>
      </c>
      <c r="AO139" s="12" t="str">
        <f t="shared" si="206"/>
        <v/>
      </c>
      <c r="AP139" s="12">
        <f t="shared" si="207"/>
        <v>11.129999999999999</v>
      </c>
      <c r="AQ139" s="12" t="str">
        <f t="shared" si="208"/>
        <v/>
      </c>
      <c r="AR139" s="12" t="str">
        <f t="shared" si="209"/>
        <v/>
      </c>
      <c r="AS139" s="12" t="str">
        <f t="shared" si="210"/>
        <v/>
      </c>
      <c r="AT139" s="12" t="str">
        <f t="shared" si="211"/>
        <v/>
      </c>
      <c r="AU139" s="12" t="str">
        <f t="shared" si="212"/>
        <v/>
      </c>
      <c r="AV139" s="17"/>
      <c r="AX139" s="4"/>
    </row>
    <row r="140" spans="1:50" x14ac:dyDescent="0.25">
      <c r="A140" s="43" t="s">
        <v>275</v>
      </c>
      <c r="B140" s="52" t="s">
        <v>624</v>
      </c>
      <c r="C140" s="44"/>
      <c r="D140" s="43"/>
      <c r="E140" s="52" t="s">
        <v>625</v>
      </c>
      <c r="F140" s="46"/>
      <c r="G140" s="76" t="s">
        <v>589</v>
      </c>
      <c r="H140" s="48" t="s">
        <v>1090</v>
      </c>
      <c r="I140" s="48"/>
      <c r="J140" s="84" t="s">
        <v>1125</v>
      </c>
      <c r="K140" s="85"/>
      <c r="L140" s="47" t="s">
        <v>1175</v>
      </c>
      <c r="M140" s="3">
        <f>11.85+0.375*2</f>
        <v>12.6</v>
      </c>
      <c r="N140" s="3">
        <f t="shared" si="190"/>
        <v>3.5500000000000003</v>
      </c>
      <c r="O140" s="22">
        <v>7.4999999999999997E-2</v>
      </c>
      <c r="P140" s="23">
        <v>1</v>
      </c>
      <c r="Q140" s="3">
        <f>3.3*2.3*2+2.25*2.3</f>
        <v>20.354999999999997</v>
      </c>
      <c r="R140" s="3"/>
      <c r="S140" s="3"/>
      <c r="T140" s="3">
        <f>(3.3+2.3*2)*2*0.375+(2.25+2.3*2)*0.375</f>
        <v>8.4937499999999986</v>
      </c>
      <c r="U140" s="3">
        <f>3.3*0.375*2+2.25*0.375</f>
        <v>3.3187499999999996</v>
      </c>
      <c r="V140" s="23"/>
      <c r="W140" s="3"/>
      <c r="X140" s="3"/>
      <c r="Y140" s="17"/>
      <c r="Z140" s="17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12">
        <f t="shared" ref="AK140:AK178" si="247">IF(((M140*N140)-Q140-R140-S140+T140+U140)=0,"",((M140*N140)-Q140-R140-S140+T140+U140))</f>
        <v>36.187500000000007</v>
      </c>
      <c r="AL140" s="12">
        <f t="shared" ref="AL140:AL178" si="248">IF(PRODUCT(P140,AK140)=0,"",P140*AK140)</f>
        <v>36.187500000000007</v>
      </c>
      <c r="AM140" s="12">
        <f t="shared" ref="AM140:AM178" si="249">IF(PRODUCT(AK140,O140)=0,"",AK140*O140)</f>
        <v>2.7140625000000003</v>
      </c>
      <c r="AN140" s="12">
        <f t="shared" ref="AN140:AN178" si="250">IF(PRODUCT(AM140,P140)=0,"",AM140*P140)</f>
        <v>2.7140625000000003</v>
      </c>
      <c r="AO140" s="12" t="str">
        <f t="shared" ref="AO140:AO178" si="251">IF(N140*V140-W140+X140=0,"",N140*V140-W140+X140)</f>
        <v/>
      </c>
      <c r="AP140" s="12">
        <f t="shared" ref="AP140:AP178" si="252">IF(PRODUCT(M140,P140)=0,"",M140*P140)</f>
        <v>12.6</v>
      </c>
      <c r="AQ140" s="12" t="str">
        <f t="shared" ref="AQ140:AQ178" si="253">IF(AA140+AB140=0,"",AA140+AB140)</f>
        <v/>
      </c>
      <c r="AR140" s="12" t="str">
        <f t="shared" ref="AR140:AR178" si="254">IF(AC140+AD140=0,"",AC140+AD140)</f>
        <v/>
      </c>
      <c r="AS140" s="12" t="str">
        <f t="shared" ref="AS140:AS178" si="255">IF((AE140*AH140*AI140)*P140=0,"",(AE140*AH140*AI140)*P140)</f>
        <v/>
      </c>
      <c r="AT140" s="12" t="str">
        <f t="shared" ref="AT140:AT178" si="256">IF(AJ140*P140=0,"",AJ140*P140)</f>
        <v/>
      </c>
      <c r="AU140" s="12" t="str">
        <f t="shared" ref="AU140:AU178" si="257">IF(OR(H140="s1",H140="s2",H140="s3",H140="s4",H140="s4*",H140="s5",H140="s12",H140="s16"),IF(M140&gt;=4,M140,""),"")</f>
        <v/>
      </c>
      <c r="AV140" s="17"/>
      <c r="AX140" s="4"/>
    </row>
    <row r="141" spans="1:50" x14ac:dyDescent="0.25">
      <c r="A141" s="43" t="s">
        <v>275</v>
      </c>
      <c r="B141" s="52" t="s">
        <v>540</v>
      </c>
      <c r="C141" s="44"/>
      <c r="D141" s="43"/>
      <c r="E141" s="52" t="s">
        <v>625</v>
      </c>
      <c r="F141" s="46"/>
      <c r="G141" s="76" t="s">
        <v>590</v>
      </c>
      <c r="H141" s="48" t="s">
        <v>1090</v>
      </c>
      <c r="I141" s="48"/>
      <c r="J141" s="84" t="s">
        <v>1125</v>
      </c>
      <c r="K141" s="85"/>
      <c r="L141" s="47" t="s">
        <v>1175</v>
      </c>
      <c r="M141" s="3">
        <f>0.55*2-0.2+0.375+0.175</f>
        <v>1.4500000000000002</v>
      </c>
      <c r="N141" s="3">
        <f t="shared" si="190"/>
        <v>3.5500000000000003</v>
      </c>
      <c r="O141" s="22">
        <v>7.4999999999999997E-2</v>
      </c>
      <c r="P141" s="23">
        <v>1</v>
      </c>
      <c r="Q141" s="3"/>
      <c r="R141" s="3"/>
      <c r="S141" s="3"/>
      <c r="T141" s="3"/>
      <c r="U141" s="3"/>
      <c r="V141" s="23"/>
      <c r="W141" s="3"/>
      <c r="X141" s="3"/>
      <c r="Y141" s="17"/>
      <c r="Z141" s="17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12">
        <f t="shared" si="247"/>
        <v>5.1475000000000009</v>
      </c>
      <c r="AL141" s="12">
        <f t="shared" si="248"/>
        <v>5.1475000000000009</v>
      </c>
      <c r="AM141" s="12">
        <f t="shared" si="249"/>
        <v>0.38606250000000003</v>
      </c>
      <c r="AN141" s="12">
        <f t="shared" si="250"/>
        <v>0.38606250000000003</v>
      </c>
      <c r="AO141" s="12" t="str">
        <f t="shared" si="251"/>
        <v/>
      </c>
      <c r="AP141" s="12">
        <f t="shared" si="252"/>
        <v>1.4500000000000002</v>
      </c>
      <c r="AQ141" s="12" t="str">
        <f t="shared" si="253"/>
        <v/>
      </c>
      <c r="AR141" s="12" t="str">
        <f t="shared" si="254"/>
        <v/>
      </c>
      <c r="AS141" s="12" t="str">
        <f t="shared" si="255"/>
        <v/>
      </c>
      <c r="AT141" s="12" t="str">
        <f t="shared" si="256"/>
        <v/>
      </c>
      <c r="AU141" s="12" t="str">
        <f t="shared" si="257"/>
        <v/>
      </c>
      <c r="AV141" s="17"/>
      <c r="AX141" s="4"/>
    </row>
    <row r="142" spans="1:50" x14ac:dyDescent="0.25">
      <c r="A142" s="43" t="s">
        <v>275</v>
      </c>
      <c r="B142" s="52" t="s">
        <v>627</v>
      </c>
      <c r="C142" s="44"/>
      <c r="D142" s="43"/>
      <c r="E142" s="52" t="s">
        <v>628</v>
      </c>
      <c r="F142" s="46"/>
      <c r="G142" s="76" t="s">
        <v>591</v>
      </c>
      <c r="H142" s="48" t="s">
        <v>1100</v>
      </c>
      <c r="I142" s="48"/>
      <c r="J142" s="84"/>
      <c r="K142" s="85"/>
      <c r="L142" s="47"/>
      <c r="M142" s="3">
        <f>1.375+0.57+1.43</f>
        <v>3.375</v>
      </c>
      <c r="N142" s="3">
        <f>2.2+0.2</f>
        <v>2.4000000000000004</v>
      </c>
      <c r="O142" s="22">
        <v>0.19</v>
      </c>
      <c r="P142" s="23">
        <v>1</v>
      </c>
      <c r="Q142" s="3">
        <f>1.43*(2.4-0.8)</f>
        <v>2.2879999999999998</v>
      </c>
      <c r="R142" s="3">
        <f>0.9*2</f>
        <v>1.8</v>
      </c>
      <c r="S142" s="3"/>
      <c r="T142" s="3"/>
      <c r="U142" s="3"/>
      <c r="V142" s="23"/>
      <c r="W142" s="3"/>
      <c r="X142" s="3"/>
      <c r="Y142" s="17"/>
      <c r="Z142" s="17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12">
        <f t="shared" si="247"/>
        <v>4.0120000000000013</v>
      </c>
      <c r="AL142" s="12">
        <f t="shared" si="248"/>
        <v>4.0120000000000013</v>
      </c>
      <c r="AM142" s="12">
        <f t="shared" si="249"/>
        <v>0.76228000000000029</v>
      </c>
      <c r="AN142" s="12">
        <f t="shared" si="250"/>
        <v>0.76228000000000029</v>
      </c>
      <c r="AO142" s="12" t="str">
        <f t="shared" si="251"/>
        <v/>
      </c>
      <c r="AP142" s="12">
        <f t="shared" si="252"/>
        <v>3.375</v>
      </c>
      <c r="AQ142" s="12" t="str">
        <f t="shared" si="253"/>
        <v/>
      </c>
      <c r="AR142" s="12" t="str">
        <f t="shared" si="254"/>
        <v/>
      </c>
      <c r="AS142" s="12" t="str">
        <f t="shared" si="255"/>
        <v/>
      </c>
      <c r="AT142" s="12" t="str">
        <f t="shared" si="256"/>
        <v/>
      </c>
      <c r="AU142" s="12" t="str">
        <f t="shared" si="257"/>
        <v/>
      </c>
      <c r="AV142" s="17"/>
      <c r="AX142" s="4"/>
    </row>
    <row r="143" spans="1:50" x14ac:dyDescent="0.25">
      <c r="A143" s="43" t="s">
        <v>275</v>
      </c>
      <c r="B143" s="52" t="s">
        <v>627</v>
      </c>
      <c r="C143" s="44"/>
      <c r="D143" s="43"/>
      <c r="E143" s="52" t="s">
        <v>629</v>
      </c>
      <c r="F143" s="46"/>
      <c r="G143" s="76" t="s">
        <v>592</v>
      </c>
      <c r="H143" s="48" t="s">
        <v>1100</v>
      </c>
      <c r="I143" s="48"/>
      <c r="J143" s="84"/>
      <c r="K143" s="85"/>
      <c r="L143" s="47"/>
      <c r="M143" s="3">
        <v>5.37</v>
      </c>
      <c r="N143" s="3">
        <f t="shared" si="190"/>
        <v>3.5500000000000003</v>
      </c>
      <c r="O143" s="22">
        <v>0.19</v>
      </c>
      <c r="P143" s="23">
        <v>1</v>
      </c>
      <c r="Q143" s="3"/>
      <c r="R143" s="3">
        <f>1*2.25</f>
        <v>2.25</v>
      </c>
      <c r="S143" s="3"/>
      <c r="T143" s="3"/>
      <c r="U143" s="3"/>
      <c r="V143" s="23"/>
      <c r="W143" s="3"/>
      <c r="X143" s="3"/>
      <c r="Y143" s="17"/>
      <c r="Z143" s="17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12">
        <f t="shared" si="247"/>
        <v>16.813500000000001</v>
      </c>
      <c r="AL143" s="12">
        <f t="shared" si="248"/>
        <v>16.813500000000001</v>
      </c>
      <c r="AM143" s="12">
        <f t="shared" si="249"/>
        <v>3.1945650000000003</v>
      </c>
      <c r="AN143" s="12">
        <f t="shared" si="250"/>
        <v>3.1945650000000003</v>
      </c>
      <c r="AO143" s="12" t="str">
        <f t="shared" si="251"/>
        <v/>
      </c>
      <c r="AP143" s="12">
        <f t="shared" si="252"/>
        <v>5.37</v>
      </c>
      <c r="AQ143" s="12" t="str">
        <f t="shared" si="253"/>
        <v/>
      </c>
      <c r="AR143" s="12" t="str">
        <f t="shared" si="254"/>
        <v/>
      </c>
      <c r="AS143" s="12" t="str">
        <f t="shared" si="255"/>
        <v/>
      </c>
      <c r="AT143" s="12" t="str">
        <f t="shared" si="256"/>
        <v/>
      </c>
      <c r="AU143" s="12" t="str">
        <f t="shared" si="257"/>
        <v/>
      </c>
      <c r="AV143" s="17"/>
      <c r="AX143" s="4"/>
    </row>
    <row r="144" spans="1:50" x14ac:dyDescent="0.25">
      <c r="A144" s="43" t="s">
        <v>275</v>
      </c>
      <c r="B144" s="52" t="s">
        <v>630</v>
      </c>
      <c r="C144" s="44"/>
      <c r="D144" s="43"/>
      <c r="E144" s="52" t="s">
        <v>631</v>
      </c>
      <c r="F144" s="46"/>
      <c r="G144" s="76" t="s">
        <v>593</v>
      </c>
      <c r="H144" s="48" t="s">
        <v>1093</v>
      </c>
      <c r="I144" s="48"/>
      <c r="J144" s="84" t="s">
        <v>1132</v>
      </c>
      <c r="K144" s="85"/>
      <c r="L144" s="47"/>
      <c r="M144" s="3">
        <f>1.7+0.65+0.19</f>
        <v>2.54</v>
      </c>
      <c r="N144" s="3">
        <f t="shared" si="190"/>
        <v>3.5500000000000003</v>
      </c>
      <c r="O144" s="22">
        <v>0.1</v>
      </c>
      <c r="P144" s="23">
        <v>1</v>
      </c>
      <c r="Q144" s="3"/>
      <c r="R144" s="3">
        <f>1*2.25</f>
        <v>2.25</v>
      </c>
      <c r="S144" s="3"/>
      <c r="T144" s="3"/>
      <c r="U144" s="3"/>
      <c r="V144" s="23"/>
      <c r="W144" s="3"/>
      <c r="X144" s="3"/>
      <c r="Y144" s="17"/>
      <c r="Z144" s="17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12">
        <f t="shared" si="247"/>
        <v>6.7670000000000012</v>
      </c>
      <c r="AL144" s="12">
        <f t="shared" si="248"/>
        <v>6.7670000000000012</v>
      </c>
      <c r="AM144" s="12">
        <f t="shared" si="249"/>
        <v>0.67670000000000019</v>
      </c>
      <c r="AN144" s="12">
        <f t="shared" si="250"/>
        <v>0.67670000000000019</v>
      </c>
      <c r="AO144" s="12" t="str">
        <f t="shared" si="251"/>
        <v/>
      </c>
      <c r="AP144" s="12">
        <f t="shared" si="252"/>
        <v>2.54</v>
      </c>
      <c r="AQ144" s="12" t="str">
        <f t="shared" si="253"/>
        <v/>
      </c>
      <c r="AR144" s="12" t="str">
        <f t="shared" si="254"/>
        <v/>
      </c>
      <c r="AS144" s="12" t="str">
        <f t="shared" si="255"/>
        <v/>
      </c>
      <c r="AT144" s="12" t="str">
        <f t="shared" si="256"/>
        <v/>
      </c>
      <c r="AU144" s="12" t="str">
        <f t="shared" si="257"/>
        <v/>
      </c>
      <c r="AV144" s="17"/>
      <c r="AX144" s="4"/>
    </row>
    <row r="145" spans="1:50" x14ac:dyDescent="0.25">
      <c r="A145" s="43" t="s">
        <v>275</v>
      </c>
      <c r="B145" s="52" t="s">
        <v>631</v>
      </c>
      <c r="C145" s="44"/>
      <c r="D145" s="43"/>
      <c r="E145" s="52"/>
      <c r="F145" s="46"/>
      <c r="G145" s="76" t="s">
        <v>1101</v>
      </c>
      <c r="H145" s="48" t="s">
        <v>1090</v>
      </c>
      <c r="I145" s="48"/>
      <c r="J145" s="84" t="s">
        <v>1131</v>
      </c>
      <c r="K145" s="85"/>
      <c r="L145" s="47" t="s">
        <v>586</v>
      </c>
      <c r="M145" s="3">
        <f>0.2+0.2</f>
        <v>0.4</v>
      </c>
      <c r="N145" s="3">
        <f t="shared" si="190"/>
        <v>3.5500000000000003</v>
      </c>
      <c r="O145" s="22">
        <v>7.4999999999999997E-2</v>
      </c>
      <c r="P145" s="23">
        <v>1</v>
      </c>
      <c r="Q145" s="3"/>
      <c r="R145" s="3"/>
      <c r="S145" s="3"/>
      <c r="T145" s="3"/>
      <c r="U145" s="3"/>
      <c r="V145" s="23"/>
      <c r="W145" s="3"/>
      <c r="X145" s="3"/>
      <c r="Y145" s="17"/>
      <c r="Z145" s="17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12">
        <f t="shared" ref="AK145" si="258">IF(((M145*N145)-Q145-R145-S145+T145+U145)=0,"",((M145*N145)-Q145-R145-S145+T145+U145))</f>
        <v>1.4200000000000002</v>
      </c>
      <c r="AL145" s="12">
        <f t="shared" ref="AL145" si="259">IF(PRODUCT(P145,AK145)=0,"",P145*AK145)</f>
        <v>1.4200000000000002</v>
      </c>
      <c r="AM145" s="12">
        <f t="shared" ref="AM145" si="260">IF(PRODUCT(AK145,O145)=0,"",AK145*O145)</f>
        <v>0.10650000000000001</v>
      </c>
      <c r="AN145" s="12">
        <f t="shared" ref="AN145" si="261">IF(PRODUCT(AM145,P145)=0,"",AM145*P145)</f>
        <v>0.10650000000000001</v>
      </c>
      <c r="AO145" s="12" t="str">
        <f t="shared" ref="AO145" si="262">IF(N145*V145-W145+X145=0,"",N145*V145-W145+X145)</f>
        <v/>
      </c>
      <c r="AP145" s="12">
        <f t="shared" ref="AP145" si="263">IF(PRODUCT(M145,P145)=0,"",M145*P145)</f>
        <v>0.4</v>
      </c>
      <c r="AQ145" s="12" t="str">
        <f t="shared" ref="AQ145" si="264">IF(AA145+AB145=0,"",AA145+AB145)</f>
        <v/>
      </c>
      <c r="AR145" s="12" t="str">
        <f t="shared" ref="AR145" si="265">IF(AC145+AD145=0,"",AC145+AD145)</f>
        <v/>
      </c>
      <c r="AS145" s="12" t="str">
        <f t="shared" ref="AS145" si="266">IF((AE145*AH145*AI145)*P145=0,"",(AE145*AH145*AI145)*P145)</f>
        <v/>
      </c>
      <c r="AT145" s="12" t="str">
        <f t="shared" ref="AT145" si="267">IF(AJ145*P145=0,"",AJ145*P145)</f>
        <v/>
      </c>
      <c r="AU145" s="12" t="str">
        <f t="shared" ref="AU145" si="268">IF(OR(H145="s1",H145="s2",H145="s3",H145="s4",H145="s4*",H145="s5",H145="s12",H145="s16"),IF(M145&gt;=4,M145,""),"")</f>
        <v/>
      </c>
      <c r="AV145" s="17"/>
      <c r="AX145" s="4"/>
    </row>
    <row r="146" spans="1:50" x14ac:dyDescent="0.25">
      <c r="A146" s="43" t="s">
        <v>275</v>
      </c>
      <c r="B146" s="52" t="s">
        <v>631</v>
      </c>
      <c r="C146" s="44"/>
      <c r="D146" s="43"/>
      <c r="E146" s="52" t="s">
        <v>632</v>
      </c>
      <c r="F146" s="46"/>
      <c r="G146" s="76" t="s">
        <v>594</v>
      </c>
      <c r="H146" s="48" t="s">
        <v>1097</v>
      </c>
      <c r="I146" s="48"/>
      <c r="J146" s="84" t="s">
        <v>1131</v>
      </c>
      <c r="K146" s="85"/>
      <c r="L146" s="47"/>
      <c r="M146" s="3">
        <v>2.54</v>
      </c>
      <c r="N146" s="3">
        <f t="shared" si="190"/>
        <v>3.5500000000000003</v>
      </c>
      <c r="O146" s="22">
        <v>0.15</v>
      </c>
      <c r="P146" s="23">
        <v>1</v>
      </c>
      <c r="Q146" s="3"/>
      <c r="R146" s="3"/>
      <c r="S146" s="3"/>
      <c r="T146" s="3"/>
      <c r="U146" s="3"/>
      <c r="V146" s="23"/>
      <c r="W146" s="3"/>
      <c r="X146" s="3"/>
      <c r="Y146" s="17"/>
      <c r="Z146" s="17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12">
        <f t="shared" si="247"/>
        <v>9.0170000000000012</v>
      </c>
      <c r="AL146" s="12">
        <f t="shared" si="248"/>
        <v>9.0170000000000012</v>
      </c>
      <c r="AM146" s="12">
        <f t="shared" si="249"/>
        <v>1.3525500000000001</v>
      </c>
      <c r="AN146" s="12">
        <f t="shared" si="250"/>
        <v>1.3525500000000001</v>
      </c>
      <c r="AO146" s="12" t="str">
        <f t="shared" si="251"/>
        <v/>
      </c>
      <c r="AP146" s="12">
        <f t="shared" si="252"/>
        <v>2.54</v>
      </c>
      <c r="AQ146" s="12" t="str">
        <f t="shared" si="253"/>
        <v/>
      </c>
      <c r="AR146" s="12" t="str">
        <f t="shared" si="254"/>
        <v/>
      </c>
      <c r="AS146" s="12" t="str">
        <f t="shared" si="255"/>
        <v/>
      </c>
      <c r="AT146" s="12" t="str">
        <f t="shared" si="256"/>
        <v/>
      </c>
      <c r="AU146" s="12" t="str">
        <f t="shared" si="257"/>
        <v/>
      </c>
      <c r="AV146" s="17"/>
      <c r="AX146" s="4"/>
    </row>
    <row r="147" spans="1:50" x14ac:dyDescent="0.25">
      <c r="A147" s="43" t="s">
        <v>275</v>
      </c>
      <c r="B147" s="52" t="s">
        <v>632</v>
      </c>
      <c r="C147" s="44"/>
      <c r="D147" s="43"/>
      <c r="E147" s="52"/>
      <c r="F147" s="46"/>
      <c r="G147" s="76" t="s">
        <v>595</v>
      </c>
      <c r="H147" s="48" t="s">
        <v>1090</v>
      </c>
      <c r="I147" s="48"/>
      <c r="J147" s="84" t="s">
        <v>1131</v>
      </c>
      <c r="K147" s="85"/>
      <c r="L147" s="47" t="s">
        <v>562</v>
      </c>
      <c r="M147" s="3">
        <f>1.7+0.94</f>
        <v>2.6399999999999997</v>
      </c>
      <c r="N147" s="3">
        <f t="shared" si="190"/>
        <v>3.5500000000000003</v>
      </c>
      <c r="O147" s="22">
        <v>7.4999999999999997E-2</v>
      </c>
      <c r="P147" s="23">
        <v>1</v>
      </c>
      <c r="Q147" s="3">
        <f>1.7*(3.55-1.7)</f>
        <v>3.1449999999999996</v>
      </c>
      <c r="R147" s="3"/>
      <c r="S147" s="3"/>
      <c r="T147" s="3">
        <f>(3.55-1.7)*0.2</f>
        <v>0.37</v>
      </c>
      <c r="U147" s="3">
        <f>1.7*0.2</f>
        <v>0.34</v>
      </c>
      <c r="V147" s="23"/>
      <c r="W147" s="3"/>
      <c r="X147" s="3"/>
      <c r="Y147" s="17"/>
      <c r="Z147" s="17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12">
        <f>IF(((M147*N147)-Q147-R147-S147+T147+U147)=0,"",((M147*N147)-Q147-R147-S147+T147+U147))</f>
        <v>6.9370000000000003</v>
      </c>
      <c r="AL147" s="12">
        <f t="shared" ref="AL147" si="269">IF(PRODUCT(P147,AK147)=0,"",P147*AK147)</f>
        <v>6.9370000000000003</v>
      </c>
      <c r="AM147" s="12">
        <f t="shared" ref="AM147" si="270">IF(PRODUCT(AK147,O147)=0,"",AK147*O147)</f>
        <v>0.52027500000000004</v>
      </c>
      <c r="AN147" s="12">
        <f t="shared" ref="AN147" si="271">IF(PRODUCT(AM147,P147)=0,"",AM147*P147)</f>
        <v>0.52027500000000004</v>
      </c>
      <c r="AO147" s="12" t="str">
        <f t="shared" ref="AO147" si="272">IF(N147*V147-W147+X147=0,"",N147*V147-W147+X147)</f>
        <v/>
      </c>
      <c r="AP147" s="12">
        <f t="shared" ref="AP147" si="273">IF(PRODUCT(M147,P147)=0,"",M147*P147)</f>
        <v>2.6399999999999997</v>
      </c>
      <c r="AQ147" s="12" t="str">
        <f t="shared" ref="AQ147" si="274">IF(AA147+AB147=0,"",AA147+AB147)</f>
        <v/>
      </c>
      <c r="AR147" s="12" t="str">
        <f t="shared" ref="AR147" si="275">IF(AC147+AD147=0,"",AC147+AD147)</f>
        <v/>
      </c>
      <c r="AS147" s="12" t="str">
        <f t="shared" ref="AS147" si="276">IF((AE147*AH147*AI147)*P147=0,"",(AE147*AH147*AI147)*P147)</f>
        <v/>
      </c>
      <c r="AT147" s="12" t="str">
        <f t="shared" ref="AT147" si="277">IF(AJ147*P147=0,"",AJ147*P147)</f>
        <v/>
      </c>
      <c r="AU147" s="12" t="str">
        <f t="shared" ref="AU147" si="278">IF(OR(H147="s1",H147="s2",H147="s3",H147="s4",H147="s4*",H147="s5",H147="s12",H147="s16"),IF(M147&gt;=4,M147,""),"")</f>
        <v/>
      </c>
      <c r="AV147" s="17"/>
      <c r="AX147" s="4"/>
    </row>
    <row r="148" spans="1:50" x14ac:dyDescent="0.25">
      <c r="A148" s="43" t="s">
        <v>275</v>
      </c>
      <c r="B148" s="52" t="s">
        <v>632</v>
      </c>
      <c r="C148" s="44"/>
      <c r="D148" s="43"/>
      <c r="E148" s="52" t="s">
        <v>633</v>
      </c>
      <c r="F148" s="46"/>
      <c r="G148" s="76" t="s">
        <v>596</v>
      </c>
      <c r="H148" s="48" t="s">
        <v>1093</v>
      </c>
      <c r="I148" s="48"/>
      <c r="J148" s="84" t="s">
        <v>1132</v>
      </c>
      <c r="K148" s="85"/>
      <c r="L148" s="47"/>
      <c r="M148" s="3">
        <v>1.55</v>
      </c>
      <c r="N148" s="3">
        <f t="shared" si="190"/>
        <v>3.5500000000000003</v>
      </c>
      <c r="O148" s="22">
        <v>0.1</v>
      </c>
      <c r="P148" s="23">
        <v>1</v>
      </c>
      <c r="Q148" s="3"/>
      <c r="R148" s="3">
        <f>0.8*2.25</f>
        <v>1.8</v>
      </c>
      <c r="S148" s="3"/>
      <c r="T148" s="3"/>
      <c r="U148" s="3"/>
      <c r="V148" s="23"/>
      <c r="W148" s="3"/>
      <c r="X148" s="3"/>
      <c r="Y148" s="17"/>
      <c r="Z148" s="17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12">
        <f t="shared" si="247"/>
        <v>3.7025000000000006</v>
      </c>
      <c r="AL148" s="12">
        <f t="shared" si="248"/>
        <v>3.7025000000000006</v>
      </c>
      <c r="AM148" s="12">
        <f t="shared" si="249"/>
        <v>0.37025000000000008</v>
      </c>
      <c r="AN148" s="12">
        <f t="shared" si="250"/>
        <v>0.37025000000000008</v>
      </c>
      <c r="AO148" s="12" t="str">
        <f t="shared" si="251"/>
        <v/>
      </c>
      <c r="AP148" s="12">
        <f t="shared" si="252"/>
        <v>1.55</v>
      </c>
      <c r="AQ148" s="12" t="str">
        <f t="shared" si="253"/>
        <v/>
      </c>
      <c r="AR148" s="12" t="str">
        <f t="shared" si="254"/>
        <v/>
      </c>
      <c r="AS148" s="12" t="str">
        <f t="shared" si="255"/>
        <v/>
      </c>
      <c r="AT148" s="12" t="str">
        <f t="shared" si="256"/>
        <v/>
      </c>
      <c r="AU148" s="12" t="str">
        <f t="shared" si="257"/>
        <v/>
      </c>
      <c r="AV148" s="17"/>
      <c r="AX148" s="4"/>
    </row>
    <row r="149" spans="1:50" x14ac:dyDescent="0.25">
      <c r="A149" s="43" t="s">
        <v>275</v>
      </c>
      <c r="B149" s="52" t="s">
        <v>634</v>
      </c>
      <c r="C149" s="44"/>
      <c r="D149" s="43"/>
      <c r="E149" s="52" t="s">
        <v>635</v>
      </c>
      <c r="F149" s="46"/>
      <c r="G149" s="76" t="s">
        <v>597</v>
      </c>
      <c r="H149" s="48" t="s">
        <v>1092</v>
      </c>
      <c r="I149" s="48"/>
      <c r="J149" s="84" t="s">
        <v>1132</v>
      </c>
      <c r="K149" s="85"/>
      <c r="L149" s="47"/>
      <c r="M149" s="3">
        <f>3.82-M150</f>
        <v>2.04</v>
      </c>
      <c r="N149" s="3">
        <f t="shared" si="190"/>
        <v>3.5500000000000003</v>
      </c>
      <c r="O149" s="22">
        <v>0.2</v>
      </c>
      <c r="P149" s="23">
        <v>1</v>
      </c>
      <c r="Q149" s="3"/>
      <c r="R149" s="3"/>
      <c r="S149" s="3"/>
      <c r="T149" s="3"/>
      <c r="U149" s="3"/>
      <c r="V149" s="23"/>
      <c r="W149" s="3"/>
      <c r="X149" s="3"/>
      <c r="Y149" s="17"/>
      <c r="Z149" s="17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12">
        <f t="shared" si="247"/>
        <v>7.2420000000000009</v>
      </c>
      <c r="AL149" s="12">
        <f t="shared" si="248"/>
        <v>7.2420000000000009</v>
      </c>
      <c r="AM149" s="12">
        <f t="shared" si="249"/>
        <v>1.4484000000000004</v>
      </c>
      <c r="AN149" s="12">
        <f t="shared" si="250"/>
        <v>1.4484000000000004</v>
      </c>
      <c r="AO149" s="12" t="str">
        <f t="shared" si="251"/>
        <v/>
      </c>
      <c r="AP149" s="12">
        <f t="shared" si="252"/>
        <v>2.04</v>
      </c>
      <c r="AQ149" s="12" t="str">
        <f t="shared" si="253"/>
        <v/>
      </c>
      <c r="AR149" s="12" t="str">
        <f t="shared" si="254"/>
        <v/>
      </c>
      <c r="AS149" s="12" t="str">
        <f t="shared" si="255"/>
        <v/>
      </c>
      <c r="AT149" s="12" t="str">
        <f t="shared" si="256"/>
        <v/>
      </c>
      <c r="AU149" s="12" t="str">
        <f t="shared" si="257"/>
        <v/>
      </c>
      <c r="AV149" s="17"/>
      <c r="AX149" s="4"/>
    </row>
    <row r="150" spans="1:50" x14ac:dyDescent="0.25">
      <c r="A150" s="43" t="s">
        <v>275</v>
      </c>
      <c r="B150" s="52" t="s">
        <v>634</v>
      </c>
      <c r="C150" s="44"/>
      <c r="D150" s="43"/>
      <c r="E150" s="52" t="s">
        <v>635</v>
      </c>
      <c r="F150" s="46"/>
      <c r="G150" s="76" t="s">
        <v>1133</v>
      </c>
      <c r="H150" s="48" t="s">
        <v>1092</v>
      </c>
      <c r="I150" s="48"/>
      <c r="J150" s="84" t="s">
        <v>1125</v>
      </c>
      <c r="K150" s="85"/>
      <c r="L150" s="47"/>
      <c r="M150" s="3">
        <v>1.78</v>
      </c>
      <c r="N150" s="3">
        <f t="shared" si="190"/>
        <v>3.5500000000000003</v>
      </c>
      <c r="O150" s="22">
        <v>0.2</v>
      </c>
      <c r="P150" s="23">
        <v>1</v>
      </c>
      <c r="Q150" s="3"/>
      <c r="R150" s="3">
        <f>1*2.25</f>
        <v>2.25</v>
      </c>
      <c r="S150" s="3"/>
      <c r="T150" s="3"/>
      <c r="U150" s="3"/>
      <c r="V150" s="23"/>
      <c r="W150" s="3"/>
      <c r="X150" s="3"/>
      <c r="Y150" s="17"/>
      <c r="Z150" s="17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12">
        <f t="shared" ref="AK150" si="279">IF(((M150*N150)-Q150-R150-S150+T150+U150)=0,"",((M150*N150)-Q150-R150-S150+T150+U150))</f>
        <v>4.0690000000000008</v>
      </c>
      <c r="AL150" s="12">
        <f t="shared" ref="AL150" si="280">IF(PRODUCT(P150,AK150)=0,"",P150*AK150)</f>
        <v>4.0690000000000008</v>
      </c>
      <c r="AM150" s="12">
        <f t="shared" ref="AM150" si="281">IF(PRODUCT(AK150,O150)=0,"",AK150*O150)</f>
        <v>0.81380000000000019</v>
      </c>
      <c r="AN150" s="12">
        <f t="shared" ref="AN150" si="282">IF(PRODUCT(AM150,P150)=0,"",AM150*P150)</f>
        <v>0.81380000000000019</v>
      </c>
      <c r="AO150" s="12" t="str">
        <f t="shared" ref="AO150" si="283">IF(N150*V150-W150+X150=0,"",N150*V150-W150+X150)</f>
        <v/>
      </c>
      <c r="AP150" s="12">
        <f t="shared" ref="AP150" si="284">IF(PRODUCT(M150,P150)=0,"",M150*P150)</f>
        <v>1.78</v>
      </c>
      <c r="AQ150" s="12" t="str">
        <f t="shared" ref="AQ150" si="285">IF(AA150+AB150=0,"",AA150+AB150)</f>
        <v/>
      </c>
      <c r="AR150" s="12" t="str">
        <f t="shared" ref="AR150" si="286">IF(AC150+AD150=0,"",AC150+AD150)</f>
        <v/>
      </c>
      <c r="AS150" s="12" t="str">
        <f t="shared" ref="AS150" si="287">IF((AE150*AH150*AI150)*P150=0,"",(AE150*AH150*AI150)*P150)</f>
        <v/>
      </c>
      <c r="AT150" s="12" t="str">
        <f t="shared" ref="AT150" si="288">IF(AJ150*P150=0,"",AJ150*P150)</f>
        <v/>
      </c>
      <c r="AU150" s="12" t="str">
        <f t="shared" ref="AU150" si="289">IF(OR(H150="s1",H150="s2",H150="s3",H150="s4",H150="s4*",H150="s5",H150="s12",H150="s16"),IF(M150&gt;=4,M150,""),"")</f>
        <v/>
      </c>
      <c r="AV150" s="17"/>
      <c r="AX150" s="4"/>
    </row>
    <row r="151" spans="1:50" x14ac:dyDescent="0.25">
      <c r="A151" s="43" t="s">
        <v>275</v>
      </c>
      <c r="B151" s="52" t="s">
        <v>636</v>
      </c>
      <c r="C151" s="44"/>
      <c r="D151" s="43"/>
      <c r="E151" s="52" t="s">
        <v>637</v>
      </c>
      <c r="F151" s="46"/>
      <c r="G151" s="76" t="s">
        <v>598</v>
      </c>
      <c r="H151" s="48" t="s">
        <v>1093</v>
      </c>
      <c r="I151" s="48"/>
      <c r="J151" s="84" t="s">
        <v>1125</v>
      </c>
      <c r="K151" s="85"/>
      <c r="L151" s="47"/>
      <c r="M151" s="3">
        <f>1+0.1+2.35</f>
        <v>3.45</v>
      </c>
      <c r="N151" s="3">
        <f t="shared" si="190"/>
        <v>3.5500000000000003</v>
      </c>
      <c r="O151" s="22">
        <v>0.1</v>
      </c>
      <c r="P151" s="23">
        <v>1</v>
      </c>
      <c r="Q151" s="3"/>
      <c r="R151" s="3"/>
      <c r="S151" s="3"/>
      <c r="T151" s="3"/>
      <c r="U151" s="3"/>
      <c r="V151" s="23"/>
      <c r="W151" s="3"/>
      <c r="X151" s="3"/>
      <c r="Y151" s="17"/>
      <c r="Z151" s="17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12">
        <f t="shared" si="247"/>
        <v>12.247500000000002</v>
      </c>
      <c r="AL151" s="12">
        <f t="shared" si="248"/>
        <v>12.247500000000002</v>
      </c>
      <c r="AM151" s="12">
        <f t="shared" si="249"/>
        <v>1.2247500000000002</v>
      </c>
      <c r="AN151" s="12">
        <f t="shared" si="250"/>
        <v>1.2247500000000002</v>
      </c>
      <c r="AO151" s="12" t="str">
        <f t="shared" si="251"/>
        <v/>
      </c>
      <c r="AP151" s="12">
        <f t="shared" si="252"/>
        <v>3.45</v>
      </c>
      <c r="AQ151" s="12" t="str">
        <f t="shared" si="253"/>
        <v/>
      </c>
      <c r="AR151" s="12" t="str">
        <f t="shared" si="254"/>
        <v/>
      </c>
      <c r="AS151" s="12" t="str">
        <f t="shared" si="255"/>
        <v/>
      </c>
      <c r="AT151" s="12" t="str">
        <f t="shared" si="256"/>
        <v/>
      </c>
      <c r="AU151" s="12" t="str">
        <f t="shared" si="257"/>
        <v/>
      </c>
      <c r="AV151" s="17"/>
      <c r="AX151" s="4"/>
    </row>
    <row r="152" spans="1:50" x14ac:dyDescent="0.25">
      <c r="A152" s="43" t="s">
        <v>275</v>
      </c>
      <c r="B152" s="52" t="s">
        <v>638</v>
      </c>
      <c r="C152" s="44"/>
      <c r="D152" s="43"/>
      <c r="E152" s="52" t="s">
        <v>633</v>
      </c>
      <c r="F152" s="46"/>
      <c r="G152" s="76" t="s">
        <v>599</v>
      </c>
      <c r="H152" s="48" t="s">
        <v>1093</v>
      </c>
      <c r="I152" s="48"/>
      <c r="J152" s="84" t="s">
        <v>1125</v>
      </c>
      <c r="K152" s="85"/>
      <c r="L152" s="47"/>
      <c r="M152" s="3">
        <v>2.2999999999999998</v>
      </c>
      <c r="N152" s="3">
        <f t="shared" si="190"/>
        <v>3.5500000000000003</v>
      </c>
      <c r="O152" s="22">
        <v>0.1</v>
      </c>
      <c r="P152" s="23">
        <v>1</v>
      </c>
      <c r="Q152" s="3"/>
      <c r="R152" s="3">
        <f>0.9*2.25</f>
        <v>2.0249999999999999</v>
      </c>
      <c r="S152" s="3"/>
      <c r="T152" s="3"/>
      <c r="U152" s="3"/>
      <c r="V152" s="23"/>
      <c r="W152" s="3"/>
      <c r="X152" s="3"/>
      <c r="Y152" s="17"/>
      <c r="Z152" s="17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12">
        <f t="shared" si="247"/>
        <v>6.1399999999999988</v>
      </c>
      <c r="AL152" s="12">
        <f t="shared" si="248"/>
        <v>6.1399999999999988</v>
      </c>
      <c r="AM152" s="12">
        <f t="shared" si="249"/>
        <v>0.61399999999999988</v>
      </c>
      <c r="AN152" s="12">
        <f t="shared" si="250"/>
        <v>0.61399999999999988</v>
      </c>
      <c r="AO152" s="12" t="str">
        <f t="shared" si="251"/>
        <v/>
      </c>
      <c r="AP152" s="12">
        <f t="shared" si="252"/>
        <v>2.2999999999999998</v>
      </c>
      <c r="AQ152" s="12" t="str">
        <f t="shared" si="253"/>
        <v/>
      </c>
      <c r="AR152" s="12" t="str">
        <f t="shared" si="254"/>
        <v/>
      </c>
      <c r="AS152" s="12" t="str">
        <f t="shared" si="255"/>
        <v/>
      </c>
      <c r="AT152" s="12" t="str">
        <f t="shared" si="256"/>
        <v/>
      </c>
      <c r="AU152" s="12" t="str">
        <f t="shared" si="257"/>
        <v/>
      </c>
      <c r="AV152" s="17"/>
      <c r="AX152" s="4"/>
    </row>
    <row r="153" spans="1:50" x14ac:dyDescent="0.25">
      <c r="A153" s="43" t="s">
        <v>275</v>
      </c>
      <c r="B153" s="52" t="s">
        <v>642</v>
      </c>
      <c r="C153" s="44"/>
      <c r="D153" s="43"/>
      <c r="E153" s="52" t="s">
        <v>637</v>
      </c>
      <c r="F153" s="46"/>
      <c r="G153" s="76" t="s">
        <v>600</v>
      </c>
      <c r="H153" s="48" t="s">
        <v>1097</v>
      </c>
      <c r="I153" s="48"/>
      <c r="J153" s="84" t="s">
        <v>1132</v>
      </c>
      <c r="K153" s="85"/>
      <c r="L153" s="47"/>
      <c r="M153" s="3">
        <f>2.85+0.1</f>
        <v>2.95</v>
      </c>
      <c r="N153" s="3">
        <f t="shared" si="190"/>
        <v>3.5500000000000003</v>
      </c>
      <c r="O153" s="22">
        <v>0.15</v>
      </c>
      <c r="P153" s="23">
        <v>1</v>
      </c>
      <c r="Q153" s="3"/>
      <c r="R153" s="3"/>
      <c r="S153" s="3"/>
      <c r="T153" s="3"/>
      <c r="U153" s="3"/>
      <c r="V153" s="23"/>
      <c r="W153" s="3"/>
      <c r="X153" s="3"/>
      <c r="Y153" s="17"/>
      <c r="Z153" s="17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12">
        <f t="shared" si="247"/>
        <v>10.472500000000002</v>
      </c>
      <c r="AL153" s="12">
        <f t="shared" si="248"/>
        <v>10.472500000000002</v>
      </c>
      <c r="AM153" s="12">
        <f t="shared" si="249"/>
        <v>1.5708750000000002</v>
      </c>
      <c r="AN153" s="12">
        <f t="shared" si="250"/>
        <v>1.5708750000000002</v>
      </c>
      <c r="AO153" s="12" t="str">
        <f t="shared" si="251"/>
        <v/>
      </c>
      <c r="AP153" s="12">
        <f t="shared" si="252"/>
        <v>2.95</v>
      </c>
      <c r="AQ153" s="12" t="str">
        <f t="shared" si="253"/>
        <v/>
      </c>
      <c r="AR153" s="12" t="str">
        <f t="shared" si="254"/>
        <v/>
      </c>
      <c r="AS153" s="12" t="str">
        <f t="shared" si="255"/>
        <v/>
      </c>
      <c r="AT153" s="12" t="str">
        <f t="shared" si="256"/>
        <v/>
      </c>
      <c r="AU153" s="12" t="str">
        <f t="shared" si="257"/>
        <v/>
      </c>
      <c r="AV153" s="17"/>
      <c r="AX153" s="4"/>
    </row>
    <row r="154" spans="1:50" x14ac:dyDescent="0.25">
      <c r="A154" s="43" t="s">
        <v>275</v>
      </c>
      <c r="B154" s="52" t="s">
        <v>642</v>
      </c>
      <c r="C154" s="44"/>
      <c r="D154" s="43"/>
      <c r="E154" s="52" t="s">
        <v>637</v>
      </c>
      <c r="F154" s="46"/>
      <c r="G154" s="76" t="s">
        <v>1137</v>
      </c>
      <c r="H154" s="48" t="s">
        <v>1097</v>
      </c>
      <c r="I154" s="48"/>
      <c r="J154" s="84" t="s">
        <v>1125</v>
      </c>
      <c r="K154" s="85"/>
      <c r="L154" s="47"/>
      <c r="M154" s="3">
        <v>1.5</v>
      </c>
      <c r="N154" s="3">
        <f t="shared" si="190"/>
        <v>3.5500000000000003</v>
      </c>
      <c r="O154" s="22">
        <v>0.15</v>
      </c>
      <c r="P154" s="23">
        <v>1</v>
      </c>
      <c r="Q154" s="3"/>
      <c r="R154" s="3"/>
      <c r="S154" s="3"/>
      <c r="T154" s="3"/>
      <c r="U154" s="3"/>
      <c r="V154" s="23"/>
      <c r="W154" s="3"/>
      <c r="X154" s="3"/>
      <c r="Y154" s="17"/>
      <c r="Z154" s="17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12">
        <f t="shared" ref="AK154" si="290">IF(((M154*N154)-Q154-R154-S154+T154+U154)=0,"",((M154*N154)-Q154-R154-S154+T154+U154))</f>
        <v>5.3250000000000002</v>
      </c>
      <c r="AL154" s="12">
        <f t="shared" ref="AL154" si="291">IF(PRODUCT(P154,AK154)=0,"",P154*AK154)</f>
        <v>5.3250000000000002</v>
      </c>
      <c r="AM154" s="12">
        <f t="shared" ref="AM154" si="292">IF(PRODUCT(AK154,O154)=0,"",AK154*O154)</f>
        <v>0.79874999999999996</v>
      </c>
      <c r="AN154" s="12">
        <f t="shared" ref="AN154" si="293">IF(PRODUCT(AM154,P154)=0,"",AM154*P154)</f>
        <v>0.79874999999999996</v>
      </c>
      <c r="AO154" s="12" t="str">
        <f t="shared" ref="AO154" si="294">IF(N154*V154-W154+X154=0,"",N154*V154-W154+X154)</f>
        <v/>
      </c>
      <c r="AP154" s="12">
        <f t="shared" ref="AP154" si="295">IF(PRODUCT(M154,P154)=0,"",M154*P154)</f>
        <v>1.5</v>
      </c>
      <c r="AQ154" s="12" t="str">
        <f t="shared" ref="AQ154" si="296">IF(AA154+AB154=0,"",AA154+AB154)</f>
        <v/>
      </c>
      <c r="AR154" s="12" t="str">
        <f t="shared" ref="AR154" si="297">IF(AC154+AD154=0,"",AC154+AD154)</f>
        <v/>
      </c>
      <c r="AS154" s="12" t="str">
        <f t="shared" ref="AS154" si="298">IF((AE154*AH154*AI154)*P154=0,"",(AE154*AH154*AI154)*P154)</f>
        <v/>
      </c>
      <c r="AT154" s="12" t="str">
        <f t="shared" ref="AT154" si="299">IF(AJ154*P154=0,"",AJ154*P154)</f>
        <v/>
      </c>
      <c r="AU154" s="12" t="str">
        <f t="shared" ref="AU154" si="300">IF(OR(H154="s1",H154="s2",H154="s3",H154="s4",H154="s4*",H154="s5",H154="s12",H154="s16"),IF(M154&gt;=4,M154,""),"")</f>
        <v/>
      </c>
      <c r="AV154" s="17"/>
      <c r="AX154" s="4"/>
    </row>
    <row r="155" spans="1:50" x14ac:dyDescent="0.25">
      <c r="A155" s="43" t="s">
        <v>275</v>
      </c>
      <c r="B155" s="52" t="s">
        <v>643</v>
      </c>
      <c r="C155" s="44"/>
      <c r="D155" s="43"/>
      <c r="E155" s="52" t="s">
        <v>640</v>
      </c>
      <c r="F155" s="46"/>
      <c r="G155" s="76" t="s">
        <v>601</v>
      </c>
      <c r="H155" s="48" t="s">
        <v>1093</v>
      </c>
      <c r="I155" s="48"/>
      <c r="J155" s="84" t="s">
        <v>1132</v>
      </c>
      <c r="K155" s="85"/>
      <c r="L155" s="47"/>
      <c r="M155" s="3">
        <v>3.35</v>
      </c>
      <c r="N155" s="3">
        <f t="shared" si="190"/>
        <v>3.5500000000000003</v>
      </c>
      <c r="O155" s="22">
        <v>0.1</v>
      </c>
      <c r="P155" s="23">
        <v>1</v>
      </c>
      <c r="Q155" s="3"/>
      <c r="R155" s="3">
        <f>1.02*2.2</f>
        <v>2.2440000000000002</v>
      </c>
      <c r="S155" s="3"/>
      <c r="T155" s="3"/>
      <c r="U155" s="3"/>
      <c r="V155" s="23"/>
      <c r="W155" s="3"/>
      <c r="X155" s="3"/>
      <c r="Y155" s="17"/>
      <c r="Z155" s="17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12">
        <f t="shared" si="247"/>
        <v>9.6485000000000021</v>
      </c>
      <c r="AL155" s="12">
        <f t="shared" si="248"/>
        <v>9.6485000000000021</v>
      </c>
      <c r="AM155" s="12">
        <f t="shared" si="249"/>
        <v>0.96485000000000021</v>
      </c>
      <c r="AN155" s="12">
        <f t="shared" si="250"/>
        <v>0.96485000000000021</v>
      </c>
      <c r="AO155" s="12" t="str">
        <f t="shared" si="251"/>
        <v/>
      </c>
      <c r="AP155" s="12">
        <f t="shared" si="252"/>
        <v>3.35</v>
      </c>
      <c r="AQ155" s="12" t="str">
        <f t="shared" si="253"/>
        <v/>
      </c>
      <c r="AR155" s="12" t="str">
        <f t="shared" si="254"/>
        <v/>
      </c>
      <c r="AS155" s="12" t="str">
        <f t="shared" si="255"/>
        <v/>
      </c>
      <c r="AT155" s="12" t="str">
        <f t="shared" si="256"/>
        <v/>
      </c>
      <c r="AU155" s="12" t="str">
        <f t="shared" si="257"/>
        <v/>
      </c>
      <c r="AV155" s="17"/>
      <c r="AX155" s="4"/>
    </row>
    <row r="156" spans="1:50" x14ac:dyDescent="0.25">
      <c r="A156" s="43" t="s">
        <v>275</v>
      </c>
      <c r="B156" s="52" t="s">
        <v>640</v>
      </c>
      <c r="C156" s="44"/>
      <c r="D156" s="43"/>
      <c r="E156" s="52" t="s">
        <v>533</v>
      </c>
      <c r="F156" s="46"/>
      <c r="G156" s="76" t="s">
        <v>602</v>
      </c>
      <c r="H156" s="48" t="s">
        <v>1097</v>
      </c>
      <c r="I156" s="48"/>
      <c r="J156" s="84" t="s">
        <v>1132</v>
      </c>
      <c r="K156" s="85"/>
      <c r="L156" s="47"/>
      <c r="M156" s="3">
        <f>1.05+0.9+0.9</f>
        <v>2.85</v>
      </c>
      <c r="N156" s="3">
        <f t="shared" si="190"/>
        <v>3.5500000000000003</v>
      </c>
      <c r="O156" s="22">
        <v>0.15</v>
      </c>
      <c r="P156" s="23">
        <v>1</v>
      </c>
      <c r="Q156" s="3"/>
      <c r="R156" s="3">
        <f>0.9*2.2</f>
        <v>1.9800000000000002</v>
      </c>
      <c r="S156" s="3"/>
      <c r="T156" s="3"/>
      <c r="U156" s="3"/>
      <c r="V156" s="23"/>
      <c r="W156" s="3"/>
      <c r="X156" s="3"/>
      <c r="Y156" s="17"/>
      <c r="Z156" s="17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12">
        <f t="shared" si="247"/>
        <v>8.1375000000000011</v>
      </c>
      <c r="AL156" s="12">
        <f t="shared" si="248"/>
        <v>8.1375000000000011</v>
      </c>
      <c r="AM156" s="12">
        <f t="shared" si="249"/>
        <v>1.2206250000000001</v>
      </c>
      <c r="AN156" s="12">
        <f t="shared" si="250"/>
        <v>1.2206250000000001</v>
      </c>
      <c r="AO156" s="12" t="str">
        <f t="shared" si="251"/>
        <v/>
      </c>
      <c r="AP156" s="12">
        <f t="shared" si="252"/>
        <v>2.85</v>
      </c>
      <c r="AQ156" s="12" t="str">
        <f t="shared" si="253"/>
        <v/>
      </c>
      <c r="AR156" s="12" t="str">
        <f t="shared" si="254"/>
        <v/>
      </c>
      <c r="AS156" s="12" t="str">
        <f t="shared" si="255"/>
        <v/>
      </c>
      <c r="AT156" s="12" t="str">
        <f t="shared" si="256"/>
        <v/>
      </c>
      <c r="AU156" s="12" t="str">
        <f t="shared" si="257"/>
        <v/>
      </c>
      <c r="AV156" s="17"/>
      <c r="AX156" s="4"/>
    </row>
    <row r="157" spans="1:50" x14ac:dyDescent="0.25">
      <c r="A157" s="43" t="s">
        <v>275</v>
      </c>
      <c r="B157" s="52" t="s">
        <v>643</v>
      </c>
      <c r="C157" s="44"/>
      <c r="D157" s="43"/>
      <c r="E157" s="52" t="s">
        <v>533</v>
      </c>
      <c r="F157" s="46"/>
      <c r="G157" s="76" t="s">
        <v>603</v>
      </c>
      <c r="H157" s="48" t="s">
        <v>1092</v>
      </c>
      <c r="I157" s="48"/>
      <c r="J157" s="84" t="s">
        <v>1125</v>
      </c>
      <c r="K157" s="85"/>
      <c r="L157" s="47"/>
      <c r="M157" s="3">
        <f>0.1+1.5</f>
        <v>1.6</v>
      </c>
      <c r="N157" s="3">
        <f t="shared" si="190"/>
        <v>3.5500000000000003</v>
      </c>
      <c r="O157" s="22">
        <v>0.2</v>
      </c>
      <c r="P157" s="23">
        <v>1</v>
      </c>
      <c r="Q157" s="3"/>
      <c r="R157" s="3">
        <f>0.91*2.2</f>
        <v>2.0020000000000002</v>
      </c>
      <c r="S157" s="3"/>
      <c r="T157" s="3"/>
      <c r="U157" s="3"/>
      <c r="V157" s="23"/>
      <c r="W157" s="3"/>
      <c r="X157" s="3"/>
      <c r="Y157" s="17"/>
      <c r="Z157" s="17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12">
        <f t="shared" si="247"/>
        <v>3.6780000000000004</v>
      </c>
      <c r="AL157" s="12">
        <f t="shared" si="248"/>
        <v>3.6780000000000004</v>
      </c>
      <c r="AM157" s="12">
        <f t="shared" si="249"/>
        <v>0.73560000000000014</v>
      </c>
      <c r="AN157" s="12">
        <f t="shared" si="250"/>
        <v>0.73560000000000014</v>
      </c>
      <c r="AO157" s="12" t="str">
        <f t="shared" si="251"/>
        <v/>
      </c>
      <c r="AP157" s="12">
        <f t="shared" si="252"/>
        <v>1.6</v>
      </c>
      <c r="AQ157" s="12" t="str">
        <f t="shared" si="253"/>
        <v/>
      </c>
      <c r="AR157" s="12" t="str">
        <f t="shared" si="254"/>
        <v/>
      </c>
      <c r="AS157" s="12" t="str">
        <f t="shared" si="255"/>
        <v/>
      </c>
      <c r="AT157" s="12" t="str">
        <f t="shared" si="256"/>
        <v/>
      </c>
      <c r="AU157" s="12" t="str">
        <f t="shared" si="257"/>
        <v/>
      </c>
      <c r="AV157" s="17"/>
      <c r="AX157" s="4"/>
    </row>
    <row r="158" spans="1:50" x14ac:dyDescent="0.25">
      <c r="A158" s="43" t="s">
        <v>275</v>
      </c>
      <c r="B158" s="52" t="s">
        <v>640</v>
      </c>
      <c r="C158" s="44"/>
      <c r="D158" s="43"/>
      <c r="E158" s="52"/>
      <c r="F158" s="46"/>
      <c r="G158" s="76" t="s">
        <v>604</v>
      </c>
      <c r="H158" s="48" t="s">
        <v>1090</v>
      </c>
      <c r="I158" s="48"/>
      <c r="J158" s="84" t="s">
        <v>1131</v>
      </c>
      <c r="K158" s="85"/>
      <c r="L158" s="47" t="s">
        <v>644</v>
      </c>
      <c r="M158" s="3">
        <v>0.78</v>
      </c>
      <c r="N158" s="3">
        <f>1.5+0.2</f>
        <v>1.7</v>
      </c>
      <c r="O158" s="22">
        <v>0.15</v>
      </c>
      <c r="P158" s="23">
        <v>1</v>
      </c>
      <c r="Q158" s="3"/>
      <c r="R158" s="3"/>
      <c r="S158" s="3"/>
      <c r="T158" s="3"/>
      <c r="U158" s="3"/>
      <c r="V158" s="23"/>
      <c r="W158" s="3"/>
      <c r="X158" s="3"/>
      <c r="Y158" s="17"/>
      <c r="Z158" s="17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12">
        <f t="shared" si="247"/>
        <v>1.3260000000000001</v>
      </c>
      <c r="AL158" s="12">
        <f t="shared" si="248"/>
        <v>1.3260000000000001</v>
      </c>
      <c r="AM158" s="12">
        <f t="shared" si="249"/>
        <v>0.19889999999999999</v>
      </c>
      <c r="AN158" s="12">
        <f t="shared" si="250"/>
        <v>0.19889999999999999</v>
      </c>
      <c r="AO158" s="12" t="str">
        <f t="shared" si="251"/>
        <v/>
      </c>
      <c r="AP158" s="12">
        <f t="shared" si="252"/>
        <v>0.78</v>
      </c>
      <c r="AQ158" s="12" t="str">
        <f t="shared" si="253"/>
        <v/>
      </c>
      <c r="AR158" s="12" t="str">
        <f t="shared" si="254"/>
        <v/>
      </c>
      <c r="AS158" s="12" t="str">
        <f t="shared" si="255"/>
        <v/>
      </c>
      <c r="AT158" s="12" t="str">
        <f t="shared" si="256"/>
        <v/>
      </c>
      <c r="AU158" s="12" t="str">
        <f t="shared" si="257"/>
        <v/>
      </c>
      <c r="AV158" s="17"/>
      <c r="AX158" s="4"/>
    </row>
    <row r="159" spans="1:50" x14ac:dyDescent="0.25">
      <c r="A159" s="43" t="s">
        <v>275</v>
      </c>
      <c r="B159" s="52" t="s">
        <v>641</v>
      </c>
      <c r="C159" s="44"/>
      <c r="D159" s="43"/>
      <c r="E159" s="52"/>
      <c r="F159" s="46"/>
      <c r="G159" s="76" t="s">
        <v>605</v>
      </c>
      <c r="H159" s="48" t="s">
        <v>1090</v>
      </c>
      <c r="I159" s="48"/>
      <c r="J159" s="84" t="s">
        <v>1125</v>
      </c>
      <c r="K159" s="85"/>
      <c r="L159" s="47" t="s">
        <v>517</v>
      </c>
      <c r="M159" s="3">
        <f>0.5*2</f>
        <v>1</v>
      </c>
      <c r="N159" s="3">
        <f t="shared" si="190"/>
        <v>3.5500000000000003</v>
      </c>
      <c r="O159" s="22">
        <v>7.4999999999999997E-2</v>
      </c>
      <c r="P159" s="23">
        <v>1</v>
      </c>
      <c r="Q159" s="3"/>
      <c r="R159" s="3"/>
      <c r="S159" s="3"/>
      <c r="T159" s="3"/>
      <c r="U159" s="3"/>
      <c r="V159" s="23"/>
      <c r="W159" s="3"/>
      <c r="X159" s="3"/>
      <c r="Y159" s="17"/>
      <c r="Z159" s="17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12">
        <f t="shared" si="247"/>
        <v>3.5500000000000003</v>
      </c>
      <c r="AL159" s="12">
        <f t="shared" si="248"/>
        <v>3.5500000000000003</v>
      </c>
      <c r="AM159" s="12">
        <f t="shared" si="249"/>
        <v>0.26624999999999999</v>
      </c>
      <c r="AN159" s="12">
        <f t="shared" si="250"/>
        <v>0.26624999999999999</v>
      </c>
      <c r="AO159" s="12" t="str">
        <f t="shared" si="251"/>
        <v/>
      </c>
      <c r="AP159" s="12">
        <f t="shared" si="252"/>
        <v>1</v>
      </c>
      <c r="AQ159" s="12" t="str">
        <f t="shared" si="253"/>
        <v/>
      </c>
      <c r="AR159" s="12" t="str">
        <f t="shared" si="254"/>
        <v/>
      </c>
      <c r="AS159" s="12" t="str">
        <f t="shared" si="255"/>
        <v/>
      </c>
      <c r="AT159" s="12" t="str">
        <f t="shared" si="256"/>
        <v/>
      </c>
      <c r="AU159" s="12" t="str">
        <f t="shared" si="257"/>
        <v/>
      </c>
      <c r="AV159" s="17"/>
      <c r="AX159" s="4"/>
    </row>
    <row r="160" spans="1:50" x14ac:dyDescent="0.25">
      <c r="A160" s="43" t="s">
        <v>275</v>
      </c>
      <c r="B160" s="52" t="s">
        <v>641</v>
      </c>
      <c r="C160" s="44"/>
      <c r="D160" s="43"/>
      <c r="E160" s="52" t="s">
        <v>646</v>
      </c>
      <c r="F160" s="46"/>
      <c r="G160" s="76" t="s">
        <v>606</v>
      </c>
      <c r="H160" s="48" t="s">
        <v>1097</v>
      </c>
      <c r="I160" s="48"/>
      <c r="J160" s="84" t="s">
        <v>1166</v>
      </c>
      <c r="K160" s="85"/>
      <c r="L160" s="47" t="s">
        <v>622</v>
      </c>
      <c r="M160" s="3">
        <f>2.2+0.15</f>
        <v>2.35</v>
      </c>
      <c r="N160" s="3">
        <f t="shared" si="190"/>
        <v>3.5500000000000003</v>
      </c>
      <c r="O160" s="22">
        <v>0.15</v>
      </c>
      <c r="P160" s="23">
        <v>1</v>
      </c>
      <c r="Q160" s="3"/>
      <c r="R160" s="3"/>
      <c r="S160" s="3"/>
      <c r="T160" s="3"/>
      <c r="U160" s="3"/>
      <c r="V160" s="23"/>
      <c r="W160" s="3"/>
      <c r="X160" s="3"/>
      <c r="Y160" s="17"/>
      <c r="Z160" s="17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12">
        <f t="shared" si="247"/>
        <v>8.3425000000000011</v>
      </c>
      <c r="AL160" s="12">
        <f t="shared" si="248"/>
        <v>8.3425000000000011</v>
      </c>
      <c r="AM160" s="12">
        <f t="shared" si="249"/>
        <v>1.2513750000000001</v>
      </c>
      <c r="AN160" s="12">
        <f t="shared" si="250"/>
        <v>1.2513750000000001</v>
      </c>
      <c r="AO160" s="12" t="str">
        <f t="shared" si="251"/>
        <v/>
      </c>
      <c r="AP160" s="12">
        <f t="shared" si="252"/>
        <v>2.35</v>
      </c>
      <c r="AQ160" s="12" t="str">
        <f t="shared" si="253"/>
        <v/>
      </c>
      <c r="AR160" s="12" t="str">
        <f t="shared" si="254"/>
        <v/>
      </c>
      <c r="AS160" s="12" t="str">
        <f t="shared" si="255"/>
        <v/>
      </c>
      <c r="AT160" s="12" t="str">
        <f t="shared" si="256"/>
        <v/>
      </c>
      <c r="AU160" s="12" t="str">
        <f t="shared" si="257"/>
        <v/>
      </c>
      <c r="AV160" s="17"/>
      <c r="AX160" s="4"/>
    </row>
    <row r="161" spans="1:50" x14ac:dyDescent="0.25">
      <c r="A161" s="43" t="s">
        <v>275</v>
      </c>
      <c r="B161" s="52" t="s">
        <v>641</v>
      </c>
      <c r="C161" s="44"/>
      <c r="D161" s="43"/>
      <c r="E161" s="52" t="s">
        <v>645</v>
      </c>
      <c r="F161" s="46"/>
      <c r="G161" s="76" t="s">
        <v>1138</v>
      </c>
      <c r="H161" s="48" t="s">
        <v>1097</v>
      </c>
      <c r="I161" s="48"/>
      <c r="J161" s="84" t="s">
        <v>1125</v>
      </c>
      <c r="K161" s="85"/>
      <c r="L161" s="47" t="s">
        <v>622</v>
      </c>
      <c r="M161" s="3">
        <v>2.7</v>
      </c>
      <c r="N161" s="3">
        <f t="shared" si="190"/>
        <v>3.5500000000000003</v>
      </c>
      <c r="O161" s="22">
        <v>0.15</v>
      </c>
      <c r="P161" s="23">
        <v>1</v>
      </c>
      <c r="Q161" s="3"/>
      <c r="R161" s="3"/>
      <c r="S161" s="3"/>
      <c r="T161" s="3"/>
      <c r="U161" s="3"/>
      <c r="V161" s="23"/>
      <c r="W161" s="3"/>
      <c r="X161" s="3"/>
      <c r="Y161" s="17"/>
      <c r="Z161" s="17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12">
        <f t="shared" ref="AK161" si="301">IF(((M161*N161)-Q161-R161-S161+T161+U161)=0,"",((M161*N161)-Q161-R161-S161+T161+U161))</f>
        <v>9.5850000000000009</v>
      </c>
      <c r="AL161" s="12">
        <f t="shared" ref="AL161" si="302">IF(PRODUCT(P161,AK161)=0,"",P161*AK161)</f>
        <v>9.5850000000000009</v>
      </c>
      <c r="AM161" s="12">
        <f t="shared" ref="AM161" si="303">IF(PRODUCT(AK161,O161)=0,"",AK161*O161)</f>
        <v>1.4377500000000001</v>
      </c>
      <c r="AN161" s="12">
        <f t="shared" ref="AN161" si="304">IF(PRODUCT(AM161,P161)=0,"",AM161*P161)</f>
        <v>1.4377500000000001</v>
      </c>
      <c r="AO161" s="12" t="str">
        <f t="shared" ref="AO161" si="305">IF(N161*V161-W161+X161=0,"",N161*V161-W161+X161)</f>
        <v/>
      </c>
      <c r="AP161" s="12">
        <f t="shared" ref="AP161" si="306">IF(PRODUCT(M161,P161)=0,"",M161*P161)</f>
        <v>2.7</v>
      </c>
      <c r="AQ161" s="12" t="str">
        <f t="shared" ref="AQ161" si="307">IF(AA161+AB161=0,"",AA161+AB161)</f>
        <v/>
      </c>
      <c r="AR161" s="12" t="str">
        <f t="shared" ref="AR161" si="308">IF(AC161+AD161=0,"",AC161+AD161)</f>
        <v/>
      </c>
      <c r="AS161" s="12" t="str">
        <f t="shared" ref="AS161" si="309">IF((AE161*AH161*AI161)*P161=0,"",(AE161*AH161*AI161)*P161)</f>
        <v/>
      </c>
      <c r="AT161" s="12" t="str">
        <f t="shared" ref="AT161" si="310">IF(AJ161*P161=0,"",AJ161*P161)</f>
        <v/>
      </c>
      <c r="AU161" s="12" t="str">
        <f t="shared" ref="AU161" si="311">IF(OR(H161="s1",H161="s2",H161="s3",H161="s4",H161="s4*",H161="s5",H161="s12",H161="s16"),IF(M161&gt;=4,M161,""),"")</f>
        <v/>
      </c>
      <c r="AV161" s="17"/>
      <c r="AX161" s="4"/>
    </row>
    <row r="162" spans="1:50" x14ac:dyDescent="0.25">
      <c r="A162" s="43" t="s">
        <v>275</v>
      </c>
      <c r="B162" s="52" t="s">
        <v>645</v>
      </c>
      <c r="C162" s="44"/>
      <c r="D162" s="43"/>
      <c r="E162" s="52" t="s">
        <v>646</v>
      </c>
      <c r="F162" s="46"/>
      <c r="G162" s="76" t="s">
        <v>607</v>
      </c>
      <c r="H162" s="48" t="s">
        <v>1097</v>
      </c>
      <c r="I162" s="48"/>
      <c r="J162" s="84" t="s">
        <v>1125</v>
      </c>
      <c r="K162" s="85"/>
      <c r="L162" s="47"/>
      <c r="M162" s="3">
        <v>3.4</v>
      </c>
      <c r="N162" s="3">
        <f t="shared" si="190"/>
        <v>3.5500000000000003</v>
      </c>
      <c r="O162" s="22">
        <v>0.15</v>
      </c>
      <c r="P162" s="23">
        <v>1</v>
      </c>
      <c r="Q162" s="3"/>
      <c r="R162" s="3"/>
      <c r="S162" s="3"/>
      <c r="T162" s="3"/>
      <c r="U162" s="3"/>
      <c r="V162" s="23"/>
      <c r="W162" s="3"/>
      <c r="X162" s="3"/>
      <c r="Y162" s="17"/>
      <c r="Z162" s="17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12">
        <f t="shared" si="247"/>
        <v>12.07</v>
      </c>
      <c r="AL162" s="12">
        <f t="shared" si="248"/>
        <v>12.07</v>
      </c>
      <c r="AM162" s="12">
        <f t="shared" si="249"/>
        <v>1.8105</v>
      </c>
      <c r="AN162" s="12">
        <f t="shared" si="250"/>
        <v>1.8105</v>
      </c>
      <c r="AO162" s="12" t="str">
        <f t="shared" si="251"/>
        <v/>
      </c>
      <c r="AP162" s="12">
        <f t="shared" si="252"/>
        <v>3.4</v>
      </c>
      <c r="AQ162" s="12" t="str">
        <f t="shared" si="253"/>
        <v/>
      </c>
      <c r="AR162" s="12" t="str">
        <f t="shared" si="254"/>
        <v/>
      </c>
      <c r="AS162" s="12" t="str">
        <f t="shared" si="255"/>
        <v/>
      </c>
      <c r="AT162" s="12" t="str">
        <f t="shared" si="256"/>
        <v/>
      </c>
      <c r="AU162" s="12" t="str">
        <f t="shared" si="257"/>
        <v/>
      </c>
      <c r="AV162" s="17"/>
      <c r="AX162" s="4"/>
    </row>
    <row r="163" spans="1:50" x14ac:dyDescent="0.25">
      <c r="A163" s="43" t="s">
        <v>275</v>
      </c>
      <c r="B163" s="52" t="s">
        <v>645</v>
      </c>
      <c r="C163" s="44"/>
      <c r="D163" s="43"/>
      <c r="E163" s="52" t="s">
        <v>533</v>
      </c>
      <c r="F163" s="46"/>
      <c r="G163" s="76" t="s">
        <v>608</v>
      </c>
      <c r="H163" s="48" t="s">
        <v>1097</v>
      </c>
      <c r="I163" s="48"/>
      <c r="J163" s="84" t="s">
        <v>1125</v>
      </c>
      <c r="K163" s="85"/>
      <c r="L163" s="47"/>
      <c r="M163" s="3">
        <f>1.6+0.15</f>
        <v>1.75</v>
      </c>
      <c r="N163" s="3">
        <f t="shared" si="190"/>
        <v>3.5500000000000003</v>
      </c>
      <c r="O163" s="22">
        <v>0.15</v>
      </c>
      <c r="P163" s="23">
        <v>1</v>
      </c>
      <c r="Q163" s="3"/>
      <c r="R163" s="3">
        <f>0.9*2.25</f>
        <v>2.0249999999999999</v>
      </c>
      <c r="S163" s="3"/>
      <c r="T163" s="3"/>
      <c r="U163" s="3"/>
      <c r="V163" s="23"/>
      <c r="W163" s="3"/>
      <c r="X163" s="3"/>
      <c r="Y163" s="17"/>
      <c r="Z163" s="17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12">
        <f t="shared" si="247"/>
        <v>4.1875</v>
      </c>
      <c r="AL163" s="12">
        <f t="shared" si="248"/>
        <v>4.1875</v>
      </c>
      <c r="AM163" s="12">
        <f t="shared" si="249"/>
        <v>0.62812499999999993</v>
      </c>
      <c r="AN163" s="12">
        <f t="shared" si="250"/>
        <v>0.62812499999999993</v>
      </c>
      <c r="AO163" s="12" t="str">
        <f t="shared" si="251"/>
        <v/>
      </c>
      <c r="AP163" s="12">
        <f t="shared" si="252"/>
        <v>1.75</v>
      </c>
      <c r="AQ163" s="12" t="str">
        <f t="shared" si="253"/>
        <v/>
      </c>
      <c r="AR163" s="12" t="str">
        <f t="shared" si="254"/>
        <v/>
      </c>
      <c r="AS163" s="12" t="str">
        <f t="shared" si="255"/>
        <v/>
      </c>
      <c r="AT163" s="12" t="str">
        <f t="shared" si="256"/>
        <v/>
      </c>
      <c r="AU163" s="12" t="str">
        <f t="shared" si="257"/>
        <v/>
      </c>
      <c r="AV163" s="17"/>
      <c r="AX163" s="4"/>
    </row>
    <row r="164" spans="1:50" x14ac:dyDescent="0.25">
      <c r="A164" s="43" t="s">
        <v>275</v>
      </c>
      <c r="B164" s="52" t="s">
        <v>646</v>
      </c>
      <c r="C164" s="44"/>
      <c r="D164" s="43"/>
      <c r="E164" s="52" t="s">
        <v>533</v>
      </c>
      <c r="F164" s="46"/>
      <c r="G164" s="76" t="s">
        <v>609</v>
      </c>
      <c r="H164" s="48" t="s">
        <v>1093</v>
      </c>
      <c r="I164" s="48"/>
      <c r="J164" s="84" t="s">
        <v>1125</v>
      </c>
      <c r="K164" s="85"/>
      <c r="L164" s="47"/>
      <c r="M164" s="3">
        <v>2.2000000000000002</v>
      </c>
      <c r="N164" s="3">
        <f t="shared" si="190"/>
        <v>3.5500000000000003</v>
      </c>
      <c r="O164" s="22">
        <v>0.1</v>
      </c>
      <c r="P164" s="23">
        <v>1</v>
      </c>
      <c r="Q164" s="3"/>
      <c r="R164" s="3">
        <f>0.9*2.2</f>
        <v>1.9800000000000002</v>
      </c>
      <c r="S164" s="3"/>
      <c r="T164" s="3"/>
      <c r="U164" s="3"/>
      <c r="V164" s="23"/>
      <c r="W164" s="3"/>
      <c r="X164" s="3"/>
      <c r="Y164" s="17"/>
      <c r="Z164" s="17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12">
        <f t="shared" si="247"/>
        <v>5.830000000000001</v>
      </c>
      <c r="AL164" s="12">
        <f t="shared" si="248"/>
        <v>5.830000000000001</v>
      </c>
      <c r="AM164" s="12">
        <f t="shared" si="249"/>
        <v>0.58300000000000007</v>
      </c>
      <c r="AN164" s="12">
        <f t="shared" si="250"/>
        <v>0.58300000000000007</v>
      </c>
      <c r="AO164" s="12" t="str">
        <f t="shared" si="251"/>
        <v/>
      </c>
      <c r="AP164" s="12">
        <f t="shared" si="252"/>
        <v>2.2000000000000002</v>
      </c>
      <c r="AQ164" s="12" t="str">
        <f t="shared" si="253"/>
        <v/>
      </c>
      <c r="AR164" s="12" t="str">
        <f t="shared" si="254"/>
        <v/>
      </c>
      <c r="AS164" s="12" t="str">
        <f t="shared" si="255"/>
        <v/>
      </c>
      <c r="AT164" s="12" t="str">
        <f t="shared" si="256"/>
        <v/>
      </c>
      <c r="AU164" s="12" t="str">
        <f t="shared" si="257"/>
        <v/>
      </c>
      <c r="AV164" s="17"/>
      <c r="AX164" s="4"/>
    </row>
    <row r="165" spans="1:50" x14ac:dyDescent="0.25">
      <c r="A165" s="43" t="s">
        <v>275</v>
      </c>
      <c r="B165" s="52" t="s">
        <v>647</v>
      </c>
      <c r="C165" s="44"/>
      <c r="D165" s="43"/>
      <c r="E165" s="52" t="s">
        <v>533</v>
      </c>
      <c r="F165" s="46"/>
      <c r="G165" s="76" t="s">
        <v>610</v>
      </c>
      <c r="H165" s="48" t="s">
        <v>1093</v>
      </c>
      <c r="I165" s="48"/>
      <c r="J165" s="84" t="s">
        <v>1132</v>
      </c>
      <c r="K165" s="85"/>
      <c r="L165" s="47"/>
      <c r="M165" s="3">
        <f>0.1*2+2.43+1.72+0.2</f>
        <v>4.5500000000000007</v>
      </c>
      <c r="N165" s="3">
        <f t="shared" si="190"/>
        <v>3.5500000000000003</v>
      </c>
      <c r="O165" s="22">
        <v>0.1</v>
      </c>
      <c r="P165" s="23">
        <v>1</v>
      </c>
      <c r="Q165" s="3"/>
      <c r="R165" s="3">
        <f>1*2.25</f>
        <v>2.25</v>
      </c>
      <c r="S165" s="3"/>
      <c r="T165" s="3"/>
      <c r="U165" s="3"/>
      <c r="V165" s="23"/>
      <c r="W165" s="3"/>
      <c r="X165" s="3"/>
      <c r="Y165" s="17"/>
      <c r="Z165" s="17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12">
        <f t="shared" si="247"/>
        <v>13.902500000000003</v>
      </c>
      <c r="AL165" s="12">
        <f t="shared" si="248"/>
        <v>13.902500000000003</v>
      </c>
      <c r="AM165" s="12">
        <f t="shared" si="249"/>
        <v>1.3902500000000004</v>
      </c>
      <c r="AN165" s="12">
        <f t="shared" si="250"/>
        <v>1.3902500000000004</v>
      </c>
      <c r="AO165" s="12" t="str">
        <f t="shared" si="251"/>
        <v/>
      </c>
      <c r="AP165" s="12">
        <f t="shared" si="252"/>
        <v>4.5500000000000007</v>
      </c>
      <c r="AQ165" s="12" t="str">
        <f t="shared" si="253"/>
        <v/>
      </c>
      <c r="AR165" s="12" t="str">
        <f t="shared" si="254"/>
        <v/>
      </c>
      <c r="AS165" s="12" t="str">
        <f t="shared" si="255"/>
        <v/>
      </c>
      <c r="AT165" s="12" t="str">
        <f t="shared" si="256"/>
        <v/>
      </c>
      <c r="AU165" s="12" t="str">
        <f t="shared" si="257"/>
        <v/>
      </c>
      <c r="AV165" s="17"/>
      <c r="AX165" s="4"/>
    </row>
    <row r="166" spans="1:50" x14ac:dyDescent="0.25">
      <c r="A166" s="43" t="s">
        <v>275</v>
      </c>
      <c r="B166" s="52" t="s">
        <v>651</v>
      </c>
      <c r="C166" s="44"/>
      <c r="D166" s="43"/>
      <c r="E166" s="52" t="s">
        <v>533</v>
      </c>
      <c r="F166" s="46"/>
      <c r="G166" s="76" t="s">
        <v>1139</v>
      </c>
      <c r="H166" s="48" t="s">
        <v>1093</v>
      </c>
      <c r="I166" s="48"/>
      <c r="J166" s="84" t="s">
        <v>1132</v>
      </c>
      <c r="K166" s="85"/>
      <c r="L166" s="47"/>
      <c r="M166" s="3">
        <f>1.4</f>
        <v>1.4</v>
      </c>
      <c r="N166" s="3">
        <f t="shared" si="190"/>
        <v>3.5500000000000003</v>
      </c>
      <c r="O166" s="22">
        <v>0.1</v>
      </c>
      <c r="P166" s="23">
        <v>1</v>
      </c>
      <c r="Q166" s="3"/>
      <c r="R166" s="3">
        <f>0.9*2.25</f>
        <v>2.0249999999999999</v>
      </c>
      <c r="S166" s="3"/>
      <c r="T166" s="3"/>
      <c r="U166" s="3"/>
      <c r="V166" s="23"/>
      <c r="W166" s="3"/>
      <c r="X166" s="3"/>
      <c r="Y166" s="17"/>
      <c r="Z166" s="17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12">
        <f t="shared" ref="AK166:AK167" si="312">IF(((M166*N166)-Q166-R166-S166+T166+U166)=0,"",((M166*N166)-Q166-R166-S166+T166+U166))</f>
        <v>2.9449999999999998</v>
      </c>
      <c r="AL166" s="12">
        <f t="shared" ref="AL166:AL167" si="313">IF(PRODUCT(P166,AK166)=0,"",P166*AK166)</f>
        <v>2.9449999999999998</v>
      </c>
      <c r="AM166" s="12">
        <f t="shared" ref="AM166:AM167" si="314">IF(PRODUCT(AK166,O166)=0,"",AK166*O166)</f>
        <v>0.29449999999999998</v>
      </c>
      <c r="AN166" s="12">
        <f t="shared" ref="AN166:AN167" si="315">IF(PRODUCT(AM166,P166)=0,"",AM166*P166)</f>
        <v>0.29449999999999998</v>
      </c>
      <c r="AO166" s="12" t="str">
        <f t="shared" ref="AO166:AO167" si="316">IF(N166*V166-W166+X166=0,"",N166*V166-W166+X166)</f>
        <v/>
      </c>
      <c r="AP166" s="12">
        <f t="shared" ref="AP166:AP167" si="317">IF(PRODUCT(M166,P166)=0,"",M166*P166)</f>
        <v>1.4</v>
      </c>
      <c r="AQ166" s="12" t="str">
        <f t="shared" ref="AQ166:AQ167" si="318">IF(AA166+AB166=0,"",AA166+AB166)</f>
        <v/>
      </c>
      <c r="AR166" s="12" t="str">
        <f t="shared" ref="AR166:AR167" si="319">IF(AC166+AD166=0,"",AC166+AD166)</f>
        <v/>
      </c>
      <c r="AS166" s="12" t="str">
        <f t="shared" ref="AS166:AS167" si="320">IF((AE166*AH166*AI166)*P166=0,"",(AE166*AH166*AI166)*P166)</f>
        <v/>
      </c>
      <c r="AT166" s="12" t="str">
        <f t="shared" ref="AT166:AT167" si="321">IF(AJ166*P166=0,"",AJ166*P166)</f>
        <v/>
      </c>
      <c r="AU166" s="12" t="str">
        <f t="shared" ref="AU166:AU167" si="322">IF(OR(H166="s1",H166="s2",H166="s3",H166="s4",H166="s4*",H166="s5",H166="s12",H166="s16"),IF(M166&gt;=4,M166,""),"")</f>
        <v/>
      </c>
      <c r="AV166" s="17"/>
      <c r="AX166" s="4"/>
    </row>
    <row r="167" spans="1:50" x14ac:dyDescent="0.25">
      <c r="A167" s="43" t="s">
        <v>275</v>
      </c>
      <c r="B167" s="52" t="s">
        <v>650</v>
      </c>
      <c r="C167" s="44"/>
      <c r="D167" s="43"/>
      <c r="E167" s="52" t="s">
        <v>533</v>
      </c>
      <c r="F167" s="46"/>
      <c r="G167" s="76" t="s">
        <v>1140</v>
      </c>
      <c r="H167" s="48" t="s">
        <v>1093</v>
      </c>
      <c r="I167" s="48"/>
      <c r="J167" s="84" t="s">
        <v>1132</v>
      </c>
      <c r="K167" s="85"/>
      <c r="L167" s="47"/>
      <c r="M167" s="3">
        <f>1.4</f>
        <v>1.4</v>
      </c>
      <c r="N167" s="3">
        <f t="shared" si="190"/>
        <v>3.5500000000000003</v>
      </c>
      <c r="O167" s="22">
        <v>0.1</v>
      </c>
      <c r="P167" s="23">
        <v>1</v>
      </c>
      <c r="Q167" s="3"/>
      <c r="R167" s="3"/>
      <c r="S167" s="3"/>
      <c r="T167" s="3"/>
      <c r="U167" s="3"/>
      <c r="V167" s="23"/>
      <c r="W167" s="3"/>
      <c r="X167" s="3"/>
      <c r="Y167" s="17"/>
      <c r="Z167" s="17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12">
        <f t="shared" si="312"/>
        <v>4.97</v>
      </c>
      <c r="AL167" s="12">
        <f t="shared" si="313"/>
        <v>4.97</v>
      </c>
      <c r="AM167" s="12">
        <f t="shared" si="314"/>
        <v>0.497</v>
      </c>
      <c r="AN167" s="12">
        <f t="shared" si="315"/>
        <v>0.497</v>
      </c>
      <c r="AO167" s="12" t="str">
        <f t="shared" si="316"/>
        <v/>
      </c>
      <c r="AP167" s="12">
        <f t="shared" si="317"/>
        <v>1.4</v>
      </c>
      <c r="AQ167" s="12" t="str">
        <f t="shared" si="318"/>
        <v/>
      </c>
      <c r="AR167" s="12" t="str">
        <f t="shared" si="319"/>
        <v/>
      </c>
      <c r="AS167" s="12" t="str">
        <f t="shared" si="320"/>
        <v/>
      </c>
      <c r="AT167" s="12" t="str">
        <f t="shared" si="321"/>
        <v/>
      </c>
      <c r="AU167" s="12" t="str">
        <f t="shared" si="322"/>
        <v/>
      </c>
      <c r="AV167" s="17"/>
      <c r="AX167" s="4"/>
    </row>
    <row r="168" spans="1:50" x14ac:dyDescent="0.25">
      <c r="A168" s="43" t="s">
        <v>275</v>
      </c>
      <c r="B168" s="52" t="s">
        <v>648</v>
      </c>
      <c r="C168" s="44"/>
      <c r="D168" s="43"/>
      <c r="E168" s="52" t="s">
        <v>533</v>
      </c>
      <c r="F168" s="46"/>
      <c r="G168" s="76" t="s">
        <v>611</v>
      </c>
      <c r="H168" s="48" t="s">
        <v>1093</v>
      </c>
      <c r="I168" s="48"/>
      <c r="J168" s="84" t="s">
        <v>1125</v>
      </c>
      <c r="K168" s="85"/>
      <c r="L168" s="47"/>
      <c r="M168" s="3">
        <f>2.2+0.15+2.1+0.2</f>
        <v>4.6500000000000004</v>
      </c>
      <c r="N168" s="3">
        <f t="shared" si="190"/>
        <v>3.5500000000000003</v>
      </c>
      <c r="O168" s="22">
        <v>0.1</v>
      </c>
      <c r="P168" s="23">
        <v>1</v>
      </c>
      <c r="Q168" s="3"/>
      <c r="R168" s="3">
        <f>0.9*2.2*2</f>
        <v>3.9600000000000004</v>
      </c>
      <c r="S168" s="3"/>
      <c r="T168" s="3"/>
      <c r="U168" s="3"/>
      <c r="V168" s="23"/>
      <c r="W168" s="3"/>
      <c r="X168" s="3"/>
      <c r="Y168" s="17"/>
      <c r="Z168" s="17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12">
        <f t="shared" si="247"/>
        <v>12.547500000000003</v>
      </c>
      <c r="AL168" s="12">
        <f t="shared" si="248"/>
        <v>12.547500000000003</v>
      </c>
      <c r="AM168" s="12">
        <f t="shared" si="249"/>
        <v>1.2547500000000005</v>
      </c>
      <c r="AN168" s="12">
        <f t="shared" si="250"/>
        <v>1.2547500000000005</v>
      </c>
      <c r="AO168" s="12" t="str">
        <f t="shared" si="251"/>
        <v/>
      </c>
      <c r="AP168" s="12">
        <f t="shared" si="252"/>
        <v>4.6500000000000004</v>
      </c>
      <c r="AQ168" s="12" t="str">
        <f t="shared" si="253"/>
        <v/>
      </c>
      <c r="AR168" s="12" t="str">
        <f t="shared" si="254"/>
        <v/>
      </c>
      <c r="AS168" s="12" t="str">
        <f t="shared" si="255"/>
        <v/>
      </c>
      <c r="AT168" s="12" t="str">
        <f t="shared" si="256"/>
        <v/>
      </c>
      <c r="AU168" s="12" t="str">
        <f t="shared" si="257"/>
        <v/>
      </c>
      <c r="AV168" s="17"/>
      <c r="AX168" s="4"/>
    </row>
    <row r="169" spans="1:50" x14ac:dyDescent="0.25">
      <c r="A169" s="43" t="s">
        <v>275</v>
      </c>
      <c r="B169" s="52" t="s">
        <v>649</v>
      </c>
      <c r="C169" s="44"/>
      <c r="D169" s="43"/>
      <c r="E169" s="52" t="s">
        <v>533</v>
      </c>
      <c r="F169" s="46"/>
      <c r="G169" s="76" t="s">
        <v>612</v>
      </c>
      <c r="H169" s="48" t="s">
        <v>1093</v>
      </c>
      <c r="I169" s="48"/>
      <c r="J169" s="84" t="s">
        <v>1125</v>
      </c>
      <c r="K169" s="85"/>
      <c r="L169" s="47"/>
      <c r="M169" s="3">
        <f>2.2+0.15+2.1+0.2</f>
        <v>4.6500000000000004</v>
      </c>
      <c r="N169" s="3">
        <f t="shared" si="190"/>
        <v>3.5500000000000003</v>
      </c>
      <c r="O169" s="22">
        <v>0.1</v>
      </c>
      <c r="P169" s="23">
        <v>1</v>
      </c>
      <c r="Q169" s="3"/>
      <c r="R169" s="3">
        <f>1*2.25*2+0.9*2.25</f>
        <v>6.5250000000000004</v>
      </c>
      <c r="S169" s="3"/>
      <c r="T169" s="3"/>
      <c r="U169" s="3"/>
      <c r="V169" s="23"/>
      <c r="W169" s="3"/>
      <c r="X169" s="3"/>
      <c r="Y169" s="17"/>
      <c r="Z169" s="17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12">
        <f t="shared" si="247"/>
        <v>9.9825000000000035</v>
      </c>
      <c r="AL169" s="12">
        <f t="shared" si="248"/>
        <v>9.9825000000000035</v>
      </c>
      <c r="AM169" s="12">
        <f t="shared" si="249"/>
        <v>0.99825000000000041</v>
      </c>
      <c r="AN169" s="12">
        <f t="shared" si="250"/>
        <v>0.99825000000000041</v>
      </c>
      <c r="AO169" s="12" t="str">
        <f t="shared" si="251"/>
        <v/>
      </c>
      <c r="AP169" s="12">
        <f t="shared" si="252"/>
        <v>4.6500000000000004</v>
      </c>
      <c r="AQ169" s="12" t="str">
        <f t="shared" si="253"/>
        <v/>
      </c>
      <c r="AR169" s="12" t="str">
        <f t="shared" si="254"/>
        <v/>
      </c>
      <c r="AS169" s="12" t="str">
        <f t="shared" si="255"/>
        <v/>
      </c>
      <c r="AT169" s="12" t="str">
        <f t="shared" si="256"/>
        <v/>
      </c>
      <c r="AU169" s="12" t="str">
        <f t="shared" si="257"/>
        <v/>
      </c>
      <c r="AV169" s="17"/>
      <c r="AX169" s="4"/>
    </row>
    <row r="170" spans="1:50" x14ac:dyDescent="0.25">
      <c r="A170" s="43" t="s">
        <v>275</v>
      </c>
      <c r="B170" s="52" t="s">
        <v>650</v>
      </c>
      <c r="C170" s="44"/>
      <c r="D170" s="43"/>
      <c r="E170" s="52" t="s">
        <v>651</v>
      </c>
      <c r="F170" s="46"/>
      <c r="G170" s="76" t="s">
        <v>613</v>
      </c>
      <c r="H170" s="48" t="s">
        <v>1092</v>
      </c>
      <c r="I170" s="48"/>
      <c r="J170" s="84" t="s">
        <v>1131</v>
      </c>
      <c r="K170" s="85"/>
      <c r="L170" s="47" t="s">
        <v>567</v>
      </c>
      <c r="M170" s="3">
        <v>1.4</v>
      </c>
      <c r="N170" s="3">
        <f t="shared" si="190"/>
        <v>3.5500000000000003</v>
      </c>
      <c r="O170" s="22">
        <v>0.2</v>
      </c>
      <c r="P170" s="23">
        <v>1</v>
      </c>
      <c r="Q170" s="3"/>
      <c r="R170" s="3"/>
      <c r="S170" s="3"/>
      <c r="T170" s="3"/>
      <c r="U170" s="3"/>
      <c r="V170" s="23"/>
      <c r="W170" s="3"/>
      <c r="X170" s="3"/>
      <c r="Y170" s="17"/>
      <c r="Z170" s="17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12">
        <f t="shared" si="247"/>
        <v>4.97</v>
      </c>
      <c r="AL170" s="12">
        <f t="shared" si="248"/>
        <v>4.97</v>
      </c>
      <c r="AM170" s="12">
        <f t="shared" si="249"/>
        <v>0.99399999999999999</v>
      </c>
      <c r="AN170" s="12">
        <f t="shared" si="250"/>
        <v>0.99399999999999999</v>
      </c>
      <c r="AO170" s="12" t="str">
        <f t="shared" si="251"/>
        <v/>
      </c>
      <c r="AP170" s="12">
        <f t="shared" si="252"/>
        <v>1.4</v>
      </c>
      <c r="AQ170" s="12" t="str">
        <f t="shared" si="253"/>
        <v/>
      </c>
      <c r="AR170" s="12" t="str">
        <f t="shared" si="254"/>
        <v/>
      </c>
      <c r="AS170" s="12" t="str">
        <f t="shared" si="255"/>
        <v/>
      </c>
      <c r="AT170" s="12" t="str">
        <f t="shared" si="256"/>
        <v/>
      </c>
      <c r="AU170" s="12" t="str">
        <f t="shared" si="257"/>
        <v/>
      </c>
      <c r="AV170" s="17"/>
      <c r="AX170" s="4"/>
    </row>
    <row r="171" spans="1:50" x14ac:dyDescent="0.25">
      <c r="A171" s="43" t="s">
        <v>275</v>
      </c>
      <c r="B171" s="52" t="s">
        <v>652</v>
      </c>
      <c r="C171" s="44"/>
      <c r="D171" s="43"/>
      <c r="E171" s="52" t="s">
        <v>653</v>
      </c>
      <c r="F171" s="46"/>
      <c r="G171" s="76" t="s">
        <v>614</v>
      </c>
      <c r="H171" s="48" t="s">
        <v>1092</v>
      </c>
      <c r="I171" s="48"/>
      <c r="J171" s="84" t="s">
        <v>1125</v>
      </c>
      <c r="K171" s="85"/>
      <c r="L171" s="47" t="s">
        <v>567</v>
      </c>
      <c r="M171" s="3">
        <v>2.1</v>
      </c>
      <c r="N171" s="3">
        <f t="shared" si="190"/>
        <v>3.5500000000000003</v>
      </c>
      <c r="O171" s="22">
        <v>0.2</v>
      </c>
      <c r="P171" s="23">
        <v>1</v>
      </c>
      <c r="Q171" s="3"/>
      <c r="R171" s="3"/>
      <c r="S171" s="3"/>
      <c r="T171" s="3"/>
      <c r="U171" s="3"/>
      <c r="V171" s="23"/>
      <c r="W171" s="3"/>
      <c r="X171" s="3"/>
      <c r="Y171" s="17"/>
      <c r="Z171" s="17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12">
        <f t="shared" si="247"/>
        <v>7.455000000000001</v>
      </c>
      <c r="AL171" s="12">
        <f t="shared" si="248"/>
        <v>7.455000000000001</v>
      </c>
      <c r="AM171" s="12">
        <f t="shared" si="249"/>
        <v>1.4910000000000003</v>
      </c>
      <c r="AN171" s="12">
        <f t="shared" si="250"/>
        <v>1.4910000000000003</v>
      </c>
      <c r="AO171" s="12" t="str">
        <f t="shared" si="251"/>
        <v/>
      </c>
      <c r="AP171" s="12">
        <f t="shared" si="252"/>
        <v>2.1</v>
      </c>
      <c r="AQ171" s="12" t="str">
        <f t="shared" si="253"/>
        <v/>
      </c>
      <c r="AR171" s="12" t="str">
        <f t="shared" si="254"/>
        <v/>
      </c>
      <c r="AS171" s="12" t="str">
        <f t="shared" si="255"/>
        <v/>
      </c>
      <c r="AT171" s="12" t="str">
        <f t="shared" si="256"/>
        <v/>
      </c>
      <c r="AU171" s="12" t="str">
        <f t="shared" si="257"/>
        <v/>
      </c>
      <c r="AV171" s="17"/>
      <c r="AX171" s="4"/>
    </row>
    <row r="172" spans="1:50" x14ac:dyDescent="0.25">
      <c r="A172" s="43" t="s">
        <v>275</v>
      </c>
      <c r="B172" s="52" t="s">
        <v>654</v>
      </c>
      <c r="C172" s="44"/>
      <c r="D172" s="43"/>
      <c r="E172" s="52" t="s">
        <v>655</v>
      </c>
      <c r="F172" s="46"/>
      <c r="G172" s="76" t="s">
        <v>615</v>
      </c>
      <c r="H172" s="48" t="s">
        <v>1097</v>
      </c>
      <c r="I172" s="48"/>
      <c r="J172" s="84" t="s">
        <v>1125</v>
      </c>
      <c r="K172" s="85"/>
      <c r="L172" s="47"/>
      <c r="M172" s="3">
        <v>3.7</v>
      </c>
      <c r="N172" s="3">
        <f t="shared" ref="N172:N202" si="323">3.35+0.2</f>
        <v>3.5500000000000003</v>
      </c>
      <c r="O172" s="22">
        <v>0.15</v>
      </c>
      <c r="P172" s="23">
        <v>1</v>
      </c>
      <c r="Q172" s="3"/>
      <c r="R172" s="3"/>
      <c r="S172" s="3"/>
      <c r="T172" s="3"/>
      <c r="U172" s="3"/>
      <c r="V172" s="23"/>
      <c r="W172" s="3"/>
      <c r="X172" s="3"/>
      <c r="Y172" s="17"/>
      <c r="Z172" s="17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12">
        <f t="shared" si="247"/>
        <v>13.135000000000002</v>
      </c>
      <c r="AL172" s="12">
        <f t="shared" si="248"/>
        <v>13.135000000000002</v>
      </c>
      <c r="AM172" s="12">
        <f t="shared" si="249"/>
        <v>1.9702500000000001</v>
      </c>
      <c r="AN172" s="12">
        <f t="shared" si="250"/>
        <v>1.9702500000000001</v>
      </c>
      <c r="AO172" s="12" t="str">
        <f t="shared" si="251"/>
        <v/>
      </c>
      <c r="AP172" s="12">
        <f t="shared" si="252"/>
        <v>3.7</v>
      </c>
      <c r="AQ172" s="12" t="str">
        <f t="shared" si="253"/>
        <v/>
      </c>
      <c r="AR172" s="12" t="str">
        <f t="shared" si="254"/>
        <v/>
      </c>
      <c r="AS172" s="12" t="str">
        <f t="shared" si="255"/>
        <v/>
      </c>
      <c r="AT172" s="12" t="str">
        <f t="shared" si="256"/>
        <v/>
      </c>
      <c r="AU172" s="12" t="str">
        <f t="shared" si="257"/>
        <v/>
      </c>
      <c r="AV172" s="17"/>
      <c r="AX172" s="4"/>
    </row>
    <row r="173" spans="1:50" x14ac:dyDescent="0.25">
      <c r="A173" s="43" t="s">
        <v>275</v>
      </c>
      <c r="B173" s="52" t="s">
        <v>654</v>
      </c>
      <c r="C173" s="44"/>
      <c r="D173" s="43"/>
      <c r="E173" s="52" t="s">
        <v>533</v>
      </c>
      <c r="F173" s="46"/>
      <c r="G173" s="76" t="s">
        <v>616</v>
      </c>
      <c r="H173" s="48" t="s">
        <v>1093</v>
      </c>
      <c r="I173" s="48"/>
      <c r="J173" s="84" t="s">
        <v>1125</v>
      </c>
      <c r="K173" s="85"/>
      <c r="L173" s="47"/>
      <c r="M173" s="3">
        <v>2.2000000000000002</v>
      </c>
      <c r="N173" s="3">
        <f t="shared" si="323"/>
        <v>3.5500000000000003</v>
      </c>
      <c r="O173" s="22">
        <v>0.1</v>
      </c>
      <c r="P173" s="23">
        <v>1</v>
      </c>
      <c r="Q173" s="3"/>
      <c r="R173" s="3"/>
      <c r="S173" s="3"/>
      <c r="T173" s="3"/>
      <c r="U173" s="3"/>
      <c r="V173" s="23"/>
      <c r="W173" s="3"/>
      <c r="X173" s="3"/>
      <c r="Y173" s="17"/>
      <c r="Z173" s="17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12">
        <f t="shared" si="247"/>
        <v>7.8100000000000014</v>
      </c>
      <c r="AL173" s="12">
        <f t="shared" si="248"/>
        <v>7.8100000000000014</v>
      </c>
      <c r="AM173" s="12">
        <f t="shared" si="249"/>
        <v>0.78100000000000014</v>
      </c>
      <c r="AN173" s="12">
        <f t="shared" si="250"/>
        <v>0.78100000000000014</v>
      </c>
      <c r="AO173" s="12" t="str">
        <f t="shared" si="251"/>
        <v/>
      </c>
      <c r="AP173" s="12">
        <f t="shared" si="252"/>
        <v>2.2000000000000002</v>
      </c>
      <c r="AQ173" s="12" t="str">
        <f t="shared" si="253"/>
        <v/>
      </c>
      <c r="AR173" s="12" t="str">
        <f t="shared" si="254"/>
        <v/>
      </c>
      <c r="AS173" s="12" t="str">
        <f t="shared" si="255"/>
        <v/>
      </c>
      <c r="AT173" s="12" t="str">
        <f t="shared" si="256"/>
        <v/>
      </c>
      <c r="AU173" s="12" t="str">
        <f t="shared" si="257"/>
        <v/>
      </c>
      <c r="AV173" s="17"/>
      <c r="AX173" s="4"/>
    </row>
    <row r="174" spans="1:50" x14ac:dyDescent="0.25">
      <c r="A174" s="43" t="s">
        <v>275</v>
      </c>
      <c r="B174" s="52" t="s">
        <v>654</v>
      </c>
      <c r="C174" s="44"/>
      <c r="D174" s="43"/>
      <c r="E174" s="52" t="s">
        <v>533</v>
      </c>
      <c r="F174" s="46"/>
      <c r="G174" s="76" t="s">
        <v>617</v>
      </c>
      <c r="H174" s="48" t="s">
        <v>1093</v>
      </c>
      <c r="I174" s="48"/>
      <c r="J174" s="84" t="s">
        <v>1125</v>
      </c>
      <c r="K174" s="85"/>
      <c r="L174" s="47"/>
      <c r="M174" s="3">
        <v>0.65</v>
      </c>
      <c r="N174" s="3">
        <f t="shared" si="323"/>
        <v>3.5500000000000003</v>
      </c>
      <c r="O174" s="22">
        <v>0.1</v>
      </c>
      <c r="P174" s="23">
        <v>2</v>
      </c>
      <c r="Q174" s="3"/>
      <c r="R174" s="3"/>
      <c r="S174" s="3"/>
      <c r="T174" s="3"/>
      <c r="U174" s="3"/>
      <c r="V174" s="23"/>
      <c r="W174" s="3"/>
      <c r="X174" s="3"/>
      <c r="Y174" s="17"/>
      <c r="Z174" s="17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12">
        <f t="shared" si="247"/>
        <v>2.3075000000000001</v>
      </c>
      <c r="AL174" s="12">
        <f t="shared" si="248"/>
        <v>4.6150000000000002</v>
      </c>
      <c r="AM174" s="12">
        <f t="shared" si="249"/>
        <v>0.23075000000000001</v>
      </c>
      <c r="AN174" s="12">
        <f t="shared" si="250"/>
        <v>0.46150000000000002</v>
      </c>
      <c r="AO174" s="12" t="str">
        <f t="shared" si="251"/>
        <v/>
      </c>
      <c r="AP174" s="12">
        <f t="shared" si="252"/>
        <v>1.3</v>
      </c>
      <c r="AQ174" s="12" t="str">
        <f t="shared" si="253"/>
        <v/>
      </c>
      <c r="AR174" s="12" t="str">
        <f t="shared" si="254"/>
        <v/>
      </c>
      <c r="AS174" s="12" t="str">
        <f t="shared" si="255"/>
        <v/>
      </c>
      <c r="AT174" s="12" t="str">
        <f t="shared" si="256"/>
        <v/>
      </c>
      <c r="AU174" s="12" t="str">
        <f t="shared" si="257"/>
        <v/>
      </c>
      <c r="AV174" s="17"/>
      <c r="AX174" s="4"/>
    </row>
    <row r="175" spans="1:50" x14ac:dyDescent="0.25">
      <c r="A175" s="43" t="s">
        <v>275</v>
      </c>
      <c r="B175" s="52" t="s">
        <v>639</v>
      </c>
      <c r="C175" s="44"/>
      <c r="D175" s="43"/>
      <c r="E175" s="52" t="s">
        <v>533</v>
      </c>
      <c r="F175" s="46"/>
      <c r="G175" s="76" t="s">
        <v>618</v>
      </c>
      <c r="H175" s="48" t="s">
        <v>1098</v>
      </c>
      <c r="I175" s="48"/>
      <c r="J175" s="84" t="s">
        <v>1132</v>
      </c>
      <c r="K175" s="85"/>
      <c r="L175" s="47"/>
      <c r="M175" s="3">
        <v>3.95</v>
      </c>
      <c r="N175" s="3">
        <f t="shared" si="323"/>
        <v>3.5500000000000003</v>
      </c>
      <c r="O175" s="22">
        <v>0.25</v>
      </c>
      <c r="P175" s="23">
        <v>1</v>
      </c>
      <c r="Q175" s="3"/>
      <c r="R175" s="3">
        <f>1*2.25</f>
        <v>2.25</v>
      </c>
      <c r="S175" s="3"/>
      <c r="T175" s="3"/>
      <c r="U175" s="3"/>
      <c r="V175" s="23"/>
      <c r="W175" s="3"/>
      <c r="X175" s="3"/>
      <c r="Y175" s="17"/>
      <c r="Z175" s="17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12">
        <f t="shared" si="247"/>
        <v>11.772500000000001</v>
      </c>
      <c r="AL175" s="12">
        <f t="shared" si="248"/>
        <v>11.772500000000001</v>
      </c>
      <c r="AM175" s="12">
        <f t="shared" si="249"/>
        <v>2.9431250000000002</v>
      </c>
      <c r="AN175" s="12">
        <f t="shared" si="250"/>
        <v>2.9431250000000002</v>
      </c>
      <c r="AO175" s="12" t="str">
        <f t="shared" si="251"/>
        <v/>
      </c>
      <c r="AP175" s="12">
        <f t="shared" si="252"/>
        <v>3.95</v>
      </c>
      <c r="AQ175" s="12" t="str">
        <f t="shared" si="253"/>
        <v/>
      </c>
      <c r="AR175" s="12" t="str">
        <f t="shared" si="254"/>
        <v/>
      </c>
      <c r="AS175" s="12" t="str">
        <f t="shared" si="255"/>
        <v/>
      </c>
      <c r="AT175" s="12" t="str">
        <f t="shared" si="256"/>
        <v/>
      </c>
      <c r="AU175" s="12" t="str">
        <f t="shared" si="257"/>
        <v/>
      </c>
      <c r="AV175" s="17"/>
      <c r="AX175" s="4"/>
    </row>
    <row r="176" spans="1:50" x14ac:dyDescent="0.25">
      <c r="A176" s="43" t="s">
        <v>275</v>
      </c>
      <c r="B176" s="52" t="s">
        <v>656</v>
      </c>
      <c r="C176" s="44"/>
      <c r="D176" s="43"/>
      <c r="E176" s="52" t="s">
        <v>533</v>
      </c>
      <c r="F176" s="46"/>
      <c r="G176" s="76" t="s">
        <v>619</v>
      </c>
      <c r="H176" s="48" t="s">
        <v>1093</v>
      </c>
      <c r="I176" s="48"/>
      <c r="J176" s="84" t="s">
        <v>1125</v>
      </c>
      <c r="K176" s="85"/>
      <c r="L176" s="47"/>
      <c r="M176" s="3">
        <v>4.45</v>
      </c>
      <c r="N176" s="3">
        <f t="shared" si="323"/>
        <v>3.5500000000000003</v>
      </c>
      <c r="O176" s="22">
        <v>0.1</v>
      </c>
      <c r="P176" s="23">
        <v>1</v>
      </c>
      <c r="Q176" s="3"/>
      <c r="R176" s="3">
        <f>1*2.25</f>
        <v>2.25</v>
      </c>
      <c r="S176" s="3"/>
      <c r="T176" s="3"/>
      <c r="U176" s="3"/>
      <c r="V176" s="23"/>
      <c r="W176" s="3"/>
      <c r="X176" s="3"/>
      <c r="Y176" s="17"/>
      <c r="Z176" s="17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12">
        <f t="shared" si="247"/>
        <v>13.547500000000001</v>
      </c>
      <c r="AL176" s="12">
        <f t="shared" si="248"/>
        <v>13.547500000000001</v>
      </c>
      <c r="AM176" s="12">
        <f t="shared" si="249"/>
        <v>1.3547500000000001</v>
      </c>
      <c r="AN176" s="12">
        <f t="shared" si="250"/>
        <v>1.3547500000000001</v>
      </c>
      <c r="AO176" s="12" t="str">
        <f t="shared" si="251"/>
        <v/>
      </c>
      <c r="AP176" s="12">
        <f t="shared" si="252"/>
        <v>4.45</v>
      </c>
      <c r="AQ176" s="12" t="str">
        <f t="shared" si="253"/>
        <v/>
      </c>
      <c r="AR176" s="12" t="str">
        <f t="shared" si="254"/>
        <v/>
      </c>
      <c r="AS176" s="12" t="str">
        <f t="shared" si="255"/>
        <v/>
      </c>
      <c r="AT176" s="12" t="str">
        <f t="shared" si="256"/>
        <v/>
      </c>
      <c r="AU176" s="12" t="str">
        <f t="shared" si="257"/>
        <v/>
      </c>
      <c r="AV176" s="17"/>
      <c r="AX176" s="4"/>
    </row>
    <row r="177" spans="1:50" x14ac:dyDescent="0.25">
      <c r="A177" s="43" t="s">
        <v>275</v>
      </c>
      <c r="B177" s="52" t="s">
        <v>656</v>
      </c>
      <c r="C177" s="44"/>
      <c r="D177" s="43"/>
      <c r="E177" s="52" t="s">
        <v>657</v>
      </c>
      <c r="F177" s="46"/>
      <c r="G177" s="76" t="s">
        <v>658</v>
      </c>
      <c r="H177" s="48" t="s">
        <v>1097</v>
      </c>
      <c r="I177" s="48"/>
      <c r="J177" s="84" t="s">
        <v>1131</v>
      </c>
      <c r="K177" s="85"/>
      <c r="L177" s="47"/>
      <c r="M177" s="3">
        <v>4.45</v>
      </c>
      <c r="N177" s="3">
        <f t="shared" si="323"/>
        <v>3.5500000000000003</v>
      </c>
      <c r="O177" s="22">
        <v>0.15</v>
      </c>
      <c r="P177" s="23">
        <v>1</v>
      </c>
      <c r="Q177" s="3"/>
      <c r="R177" s="3"/>
      <c r="S177" s="3"/>
      <c r="T177" s="3"/>
      <c r="U177" s="3"/>
      <c r="V177" s="23"/>
      <c r="W177" s="3"/>
      <c r="X177" s="3"/>
      <c r="Y177" s="17"/>
      <c r="Z177" s="17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12">
        <f t="shared" si="247"/>
        <v>15.797500000000001</v>
      </c>
      <c r="AL177" s="12">
        <f t="shared" si="248"/>
        <v>15.797500000000001</v>
      </c>
      <c r="AM177" s="12">
        <f t="shared" si="249"/>
        <v>2.3696250000000001</v>
      </c>
      <c r="AN177" s="12">
        <f t="shared" si="250"/>
        <v>2.3696250000000001</v>
      </c>
      <c r="AO177" s="12" t="str">
        <f t="shared" si="251"/>
        <v/>
      </c>
      <c r="AP177" s="12">
        <f t="shared" si="252"/>
        <v>4.45</v>
      </c>
      <c r="AQ177" s="12" t="str">
        <f t="shared" si="253"/>
        <v/>
      </c>
      <c r="AR177" s="12" t="str">
        <f t="shared" si="254"/>
        <v/>
      </c>
      <c r="AS177" s="12" t="str">
        <f t="shared" si="255"/>
        <v/>
      </c>
      <c r="AT177" s="12" t="str">
        <f t="shared" si="256"/>
        <v/>
      </c>
      <c r="AU177" s="12" t="str">
        <f t="shared" si="257"/>
        <v/>
      </c>
      <c r="AV177" s="17"/>
      <c r="AX177" s="4"/>
    </row>
    <row r="178" spans="1:50" x14ac:dyDescent="0.25">
      <c r="A178" s="43" t="s">
        <v>275</v>
      </c>
      <c r="B178" s="52" t="s">
        <v>639</v>
      </c>
      <c r="C178" s="44"/>
      <c r="D178" s="43"/>
      <c r="E178" s="52" t="s">
        <v>673</v>
      </c>
      <c r="F178" s="46"/>
      <c r="G178" s="76" t="s">
        <v>659</v>
      </c>
      <c r="H178" s="48" t="s">
        <v>1092</v>
      </c>
      <c r="I178" s="48"/>
      <c r="J178" s="84" t="s">
        <v>1131</v>
      </c>
      <c r="K178" s="85"/>
      <c r="L178" s="47"/>
      <c r="M178" s="3">
        <f>1.02+0.6</f>
        <v>1.62</v>
      </c>
      <c r="N178" s="3">
        <f t="shared" si="323"/>
        <v>3.5500000000000003</v>
      </c>
      <c r="O178" s="22">
        <v>0.2</v>
      </c>
      <c r="P178" s="23">
        <v>1</v>
      </c>
      <c r="Q178" s="3"/>
      <c r="R178" s="3">
        <f>0.6*2.25</f>
        <v>1.3499999999999999</v>
      </c>
      <c r="S178" s="3"/>
      <c r="T178" s="3"/>
      <c r="U178" s="3"/>
      <c r="V178" s="23"/>
      <c r="W178" s="3"/>
      <c r="X178" s="3"/>
      <c r="Y178" s="17"/>
      <c r="Z178" s="17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12">
        <f t="shared" si="247"/>
        <v>4.4010000000000016</v>
      </c>
      <c r="AL178" s="12">
        <f t="shared" si="248"/>
        <v>4.4010000000000016</v>
      </c>
      <c r="AM178" s="12">
        <f t="shared" si="249"/>
        <v>0.88020000000000032</v>
      </c>
      <c r="AN178" s="12">
        <f t="shared" si="250"/>
        <v>0.88020000000000032</v>
      </c>
      <c r="AO178" s="12" t="str">
        <f t="shared" si="251"/>
        <v/>
      </c>
      <c r="AP178" s="12">
        <f t="shared" si="252"/>
        <v>1.62</v>
      </c>
      <c r="AQ178" s="12" t="str">
        <f t="shared" si="253"/>
        <v/>
      </c>
      <c r="AR178" s="12" t="str">
        <f t="shared" si="254"/>
        <v/>
      </c>
      <c r="AS178" s="12" t="str">
        <f t="shared" si="255"/>
        <v/>
      </c>
      <c r="AT178" s="12" t="str">
        <f t="shared" si="256"/>
        <v/>
      </c>
      <c r="AU178" s="12" t="str">
        <f t="shared" si="257"/>
        <v/>
      </c>
      <c r="AV178" s="17"/>
      <c r="AX178" s="4"/>
    </row>
    <row r="179" spans="1:50" x14ac:dyDescent="0.25">
      <c r="A179" s="43" t="s">
        <v>275</v>
      </c>
      <c r="B179" s="52" t="s">
        <v>639</v>
      </c>
      <c r="C179" s="44"/>
      <c r="D179" s="43"/>
      <c r="E179" s="52" t="s">
        <v>673</v>
      </c>
      <c r="F179" s="46"/>
      <c r="G179" s="76" t="s">
        <v>660</v>
      </c>
      <c r="H179" s="48" t="s">
        <v>1097</v>
      </c>
      <c r="I179" s="48"/>
      <c r="J179" s="84" t="s">
        <v>1131</v>
      </c>
      <c r="K179" s="85"/>
      <c r="L179" s="47"/>
      <c r="M179" s="3">
        <f>0.9+1.45</f>
        <v>2.35</v>
      </c>
      <c r="N179" s="3">
        <f t="shared" si="323"/>
        <v>3.5500000000000003</v>
      </c>
      <c r="O179" s="22">
        <v>0.15</v>
      </c>
      <c r="P179" s="23">
        <v>1</v>
      </c>
      <c r="Q179" s="3"/>
      <c r="R179" s="3">
        <f>0.9*2.2</f>
        <v>1.9800000000000002</v>
      </c>
      <c r="S179" s="3"/>
      <c r="T179" s="3"/>
      <c r="U179" s="3"/>
      <c r="V179" s="23"/>
      <c r="W179" s="3"/>
      <c r="X179" s="3"/>
      <c r="Y179" s="17"/>
      <c r="Z179" s="17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12">
        <f t="shared" si="202"/>
        <v>6.3625000000000007</v>
      </c>
      <c r="AL179" s="12">
        <f t="shared" si="203"/>
        <v>6.3625000000000007</v>
      </c>
      <c r="AM179" s="12">
        <f t="shared" si="204"/>
        <v>0.95437500000000008</v>
      </c>
      <c r="AN179" s="12">
        <f t="shared" si="205"/>
        <v>0.95437500000000008</v>
      </c>
      <c r="AO179" s="12" t="str">
        <f t="shared" si="206"/>
        <v/>
      </c>
      <c r="AP179" s="12">
        <f t="shared" si="207"/>
        <v>2.35</v>
      </c>
      <c r="AQ179" s="12" t="str">
        <f t="shared" si="208"/>
        <v/>
      </c>
      <c r="AR179" s="12" t="str">
        <f t="shared" si="209"/>
        <v/>
      </c>
      <c r="AS179" s="12" t="str">
        <f t="shared" si="210"/>
        <v/>
      </c>
      <c r="AT179" s="12" t="str">
        <f t="shared" si="211"/>
        <v/>
      </c>
      <c r="AU179" s="12" t="str">
        <f t="shared" si="212"/>
        <v/>
      </c>
      <c r="AV179" s="17"/>
      <c r="AX179" s="4"/>
    </row>
    <row r="180" spans="1:50" x14ac:dyDescent="0.25">
      <c r="A180" s="43" t="s">
        <v>275</v>
      </c>
      <c r="B180" s="52" t="s">
        <v>674</v>
      </c>
      <c r="C180" s="44"/>
      <c r="D180" s="43"/>
      <c r="E180" s="52" t="s">
        <v>657</v>
      </c>
      <c r="F180" s="46"/>
      <c r="G180" s="76" t="s">
        <v>661</v>
      </c>
      <c r="H180" s="48"/>
      <c r="I180" s="48"/>
      <c r="J180" s="84" t="s">
        <v>1131</v>
      </c>
      <c r="K180" s="85"/>
      <c r="L180" s="47"/>
      <c r="M180" s="3">
        <f>2.32+0.15+0.83</f>
        <v>3.3</v>
      </c>
      <c r="N180" s="3">
        <f t="shared" ref="N180:N186" si="324">3.1+0.2</f>
        <v>3.3000000000000003</v>
      </c>
      <c r="O180" s="22">
        <v>0.2</v>
      </c>
      <c r="P180" s="23">
        <v>1</v>
      </c>
      <c r="Q180" s="3"/>
      <c r="R180" s="3">
        <f>2.32*2.2+0.83*2.2</f>
        <v>6.93</v>
      </c>
      <c r="S180" s="3"/>
      <c r="T180" s="3"/>
      <c r="U180" s="3"/>
      <c r="V180" s="23"/>
      <c r="W180" s="3"/>
      <c r="X180" s="3"/>
      <c r="Y180" s="17"/>
      <c r="Z180" s="17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12">
        <f t="shared" si="202"/>
        <v>3.9600000000000009</v>
      </c>
      <c r="AL180" s="12">
        <f t="shared" si="203"/>
        <v>3.9600000000000009</v>
      </c>
      <c r="AM180" s="12">
        <f t="shared" si="204"/>
        <v>0.79200000000000026</v>
      </c>
      <c r="AN180" s="12">
        <f t="shared" si="205"/>
        <v>0.79200000000000026</v>
      </c>
      <c r="AO180" s="12" t="str">
        <f t="shared" si="206"/>
        <v/>
      </c>
      <c r="AP180" s="12">
        <f t="shared" si="207"/>
        <v>3.3</v>
      </c>
      <c r="AQ180" s="12" t="str">
        <f t="shared" si="208"/>
        <v/>
      </c>
      <c r="AR180" s="12" t="str">
        <f t="shared" si="209"/>
        <v/>
      </c>
      <c r="AS180" s="12" t="str">
        <f t="shared" si="210"/>
        <v/>
      </c>
      <c r="AT180" s="12" t="str">
        <f t="shared" si="211"/>
        <v/>
      </c>
      <c r="AU180" s="12" t="str">
        <f t="shared" si="212"/>
        <v/>
      </c>
      <c r="AV180" s="17"/>
      <c r="AX180" s="4"/>
    </row>
    <row r="181" spans="1:50" x14ac:dyDescent="0.25">
      <c r="A181" s="43" t="s">
        <v>275</v>
      </c>
      <c r="B181" s="52" t="s">
        <v>675</v>
      </c>
      <c r="C181" s="44"/>
      <c r="D181" s="43"/>
      <c r="E181" s="52"/>
      <c r="F181" s="46"/>
      <c r="G181" s="76" t="s">
        <v>662</v>
      </c>
      <c r="H181" s="48" t="s">
        <v>1090</v>
      </c>
      <c r="I181" s="48"/>
      <c r="J181" s="84" t="s">
        <v>1131</v>
      </c>
      <c r="K181" s="85"/>
      <c r="L181" s="47" t="s">
        <v>1174</v>
      </c>
      <c r="M181" s="3">
        <v>3.95</v>
      </c>
      <c r="N181" s="3">
        <f t="shared" si="324"/>
        <v>3.3000000000000003</v>
      </c>
      <c r="O181" s="22">
        <v>0.1</v>
      </c>
      <c r="P181" s="23">
        <v>1</v>
      </c>
      <c r="Q181" s="3"/>
      <c r="R181" s="3"/>
      <c r="S181" s="3"/>
      <c r="T181" s="3">
        <f>1*(3.55-3.3)</f>
        <v>0.25</v>
      </c>
      <c r="U181" s="3"/>
      <c r="V181" s="23"/>
      <c r="W181" s="3"/>
      <c r="X181" s="3"/>
      <c r="Y181" s="17"/>
      <c r="Z181" s="17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12">
        <f t="shared" ref="AK181:AK202" si="325">IF(((M181*N181)-Q181-R181-S181+T181+U181)=0,"",((M181*N181)-Q181-R181-S181+T181+U181))</f>
        <v>13.285000000000002</v>
      </c>
      <c r="AL181" s="12">
        <f t="shared" ref="AL181:AL202" si="326">IF(PRODUCT(P181,AK181)=0,"",P181*AK181)</f>
        <v>13.285000000000002</v>
      </c>
      <c r="AM181" s="12">
        <f t="shared" ref="AM181:AM202" si="327">IF(PRODUCT(AK181,O181)=0,"",AK181*O181)</f>
        <v>1.3285000000000002</v>
      </c>
      <c r="AN181" s="12">
        <f t="shared" ref="AN181:AN202" si="328">IF(PRODUCT(AM181,P181)=0,"",AM181*P181)</f>
        <v>1.3285000000000002</v>
      </c>
      <c r="AO181" s="12" t="str">
        <f t="shared" ref="AO181:AO202" si="329">IF(N181*V181-W181+X181=0,"",N181*V181-W181+X181)</f>
        <v/>
      </c>
      <c r="AP181" s="12">
        <f t="shared" ref="AP181:AP202" si="330">IF(PRODUCT(M181,P181)=0,"",M181*P181)</f>
        <v>3.95</v>
      </c>
      <c r="AQ181" s="12" t="str">
        <f t="shared" ref="AQ181:AQ202" si="331">IF(AA181+AB181=0,"",AA181+AB181)</f>
        <v/>
      </c>
      <c r="AR181" s="12" t="str">
        <f t="shared" ref="AR181:AR202" si="332">IF(AC181+AD181=0,"",AC181+AD181)</f>
        <v/>
      </c>
      <c r="AS181" s="12" t="str">
        <f t="shared" ref="AS181:AS202" si="333">IF((AE181*AH181*AI181)*P181=0,"",(AE181*AH181*AI181)*P181)</f>
        <v/>
      </c>
      <c r="AT181" s="12" t="str">
        <f t="shared" ref="AT181:AT202" si="334">IF(AJ181*P181=0,"",AJ181*P181)</f>
        <v/>
      </c>
      <c r="AU181" s="12" t="str">
        <f t="shared" ref="AU181:AU202" si="335">IF(OR(H181="s1",H181="s2",H181="s3",H181="s4",H181="s4*",H181="s5",H181="s12",H181="s16"),IF(M181&gt;=4,M181,""),"")</f>
        <v/>
      </c>
      <c r="AV181" s="17"/>
      <c r="AX181" s="4"/>
    </row>
    <row r="182" spans="1:50" x14ac:dyDescent="0.25">
      <c r="A182" s="43" t="s">
        <v>275</v>
      </c>
      <c r="B182" s="52" t="s">
        <v>676</v>
      </c>
      <c r="C182" s="44"/>
      <c r="D182" s="43"/>
      <c r="E182" s="52" t="s">
        <v>674</v>
      </c>
      <c r="F182" s="46"/>
      <c r="G182" s="76" t="s">
        <v>663</v>
      </c>
      <c r="H182" s="48" t="s">
        <v>1097</v>
      </c>
      <c r="I182" s="48"/>
      <c r="J182" s="84" t="s">
        <v>1132</v>
      </c>
      <c r="K182" s="85"/>
      <c r="L182" s="47"/>
      <c r="M182" s="3">
        <v>7.1</v>
      </c>
      <c r="N182" s="3">
        <f t="shared" si="324"/>
        <v>3.3000000000000003</v>
      </c>
      <c r="O182" s="22">
        <v>0.15</v>
      </c>
      <c r="P182" s="23">
        <v>1</v>
      </c>
      <c r="Q182" s="3"/>
      <c r="R182" s="3"/>
      <c r="S182" s="3"/>
      <c r="T182" s="3"/>
      <c r="U182" s="3"/>
      <c r="V182" s="23"/>
      <c r="W182" s="3"/>
      <c r="X182" s="3"/>
      <c r="Y182" s="17"/>
      <c r="Z182" s="17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12">
        <f t="shared" si="325"/>
        <v>23.43</v>
      </c>
      <c r="AL182" s="12">
        <f t="shared" si="326"/>
        <v>23.43</v>
      </c>
      <c r="AM182" s="12">
        <f t="shared" si="327"/>
        <v>3.5145</v>
      </c>
      <c r="AN182" s="12">
        <f t="shared" si="328"/>
        <v>3.5145</v>
      </c>
      <c r="AO182" s="12" t="str">
        <f t="shared" si="329"/>
        <v/>
      </c>
      <c r="AP182" s="12">
        <f t="shared" si="330"/>
        <v>7.1</v>
      </c>
      <c r="AQ182" s="12" t="str">
        <f t="shared" si="331"/>
        <v/>
      </c>
      <c r="AR182" s="12" t="str">
        <f t="shared" si="332"/>
        <v/>
      </c>
      <c r="AS182" s="12" t="str">
        <f t="shared" si="333"/>
        <v/>
      </c>
      <c r="AT182" s="12" t="str">
        <f t="shared" si="334"/>
        <v/>
      </c>
      <c r="AU182" s="12" t="str">
        <f t="shared" si="335"/>
        <v/>
      </c>
      <c r="AV182" s="17"/>
      <c r="AX182" s="4"/>
    </row>
    <row r="183" spans="1:50" x14ac:dyDescent="0.25">
      <c r="A183" s="43" t="s">
        <v>275</v>
      </c>
      <c r="B183" s="52" t="s">
        <v>674</v>
      </c>
      <c r="C183" s="44"/>
      <c r="D183" s="43"/>
      <c r="E183" s="52" t="s">
        <v>533</v>
      </c>
      <c r="F183" s="46"/>
      <c r="G183" s="76" t="s">
        <v>664</v>
      </c>
      <c r="H183" s="48" t="s">
        <v>1093</v>
      </c>
      <c r="I183" s="48"/>
      <c r="J183" s="84" t="s">
        <v>1132</v>
      </c>
      <c r="K183" s="85"/>
      <c r="L183" s="47"/>
      <c r="M183" s="3">
        <v>2.95</v>
      </c>
      <c r="N183" s="3">
        <f t="shared" si="324"/>
        <v>3.3000000000000003</v>
      </c>
      <c r="O183" s="22">
        <v>0.1</v>
      </c>
      <c r="P183" s="23">
        <v>1</v>
      </c>
      <c r="Q183" s="3"/>
      <c r="R183" s="3">
        <f>1*2.25</f>
        <v>2.25</v>
      </c>
      <c r="S183" s="3"/>
      <c r="T183" s="3"/>
      <c r="U183" s="3"/>
      <c r="V183" s="23"/>
      <c r="W183" s="3"/>
      <c r="X183" s="3"/>
      <c r="Y183" s="17"/>
      <c r="Z183" s="17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12">
        <f t="shared" si="325"/>
        <v>7.4850000000000012</v>
      </c>
      <c r="AL183" s="12">
        <f t="shared" si="326"/>
        <v>7.4850000000000012</v>
      </c>
      <c r="AM183" s="12">
        <f t="shared" si="327"/>
        <v>0.74850000000000017</v>
      </c>
      <c r="AN183" s="12">
        <f t="shared" si="328"/>
        <v>0.74850000000000017</v>
      </c>
      <c r="AO183" s="12" t="str">
        <f t="shared" si="329"/>
        <v/>
      </c>
      <c r="AP183" s="12">
        <f t="shared" si="330"/>
        <v>2.95</v>
      </c>
      <c r="AQ183" s="12" t="str">
        <f t="shared" si="331"/>
        <v/>
      </c>
      <c r="AR183" s="12" t="str">
        <f t="shared" si="332"/>
        <v/>
      </c>
      <c r="AS183" s="12" t="str">
        <f t="shared" si="333"/>
        <v/>
      </c>
      <c r="AT183" s="12" t="str">
        <f t="shared" si="334"/>
        <v/>
      </c>
      <c r="AU183" s="12" t="str">
        <f t="shared" si="335"/>
        <v/>
      </c>
      <c r="AV183" s="17"/>
      <c r="AX183" s="4"/>
    </row>
    <row r="184" spans="1:50" x14ac:dyDescent="0.25">
      <c r="A184" s="43" t="s">
        <v>275</v>
      </c>
      <c r="B184" s="52" t="s">
        <v>676</v>
      </c>
      <c r="C184" s="44"/>
      <c r="D184" s="43"/>
      <c r="E184" s="52" t="s">
        <v>533</v>
      </c>
      <c r="F184" s="46"/>
      <c r="G184" s="76" t="s">
        <v>665</v>
      </c>
      <c r="H184" s="48" t="s">
        <v>1092</v>
      </c>
      <c r="I184" s="48"/>
      <c r="J184" s="84" t="s">
        <v>1125</v>
      </c>
      <c r="K184" s="85"/>
      <c r="L184" s="47"/>
      <c r="M184" s="3">
        <v>0.875</v>
      </c>
      <c r="N184" s="3">
        <f t="shared" si="324"/>
        <v>3.3000000000000003</v>
      </c>
      <c r="O184" s="22">
        <v>0.2</v>
      </c>
      <c r="P184" s="23">
        <v>1</v>
      </c>
      <c r="Q184" s="3"/>
      <c r="R184" s="3"/>
      <c r="S184" s="3"/>
      <c r="T184" s="3"/>
      <c r="U184" s="3"/>
      <c r="V184" s="23"/>
      <c r="W184" s="3"/>
      <c r="X184" s="3"/>
      <c r="Y184" s="17"/>
      <c r="Z184" s="17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12">
        <f t="shared" si="325"/>
        <v>2.8875000000000002</v>
      </c>
      <c r="AL184" s="12">
        <f t="shared" si="326"/>
        <v>2.8875000000000002</v>
      </c>
      <c r="AM184" s="12">
        <f t="shared" si="327"/>
        <v>0.57750000000000001</v>
      </c>
      <c r="AN184" s="12">
        <f t="shared" si="328"/>
        <v>0.57750000000000001</v>
      </c>
      <c r="AO184" s="12" t="str">
        <f t="shared" si="329"/>
        <v/>
      </c>
      <c r="AP184" s="12">
        <f t="shared" si="330"/>
        <v>0.875</v>
      </c>
      <c r="AQ184" s="12" t="str">
        <f t="shared" si="331"/>
        <v/>
      </c>
      <c r="AR184" s="12" t="str">
        <f t="shared" si="332"/>
        <v/>
      </c>
      <c r="AS184" s="12" t="str">
        <f t="shared" si="333"/>
        <v/>
      </c>
      <c r="AT184" s="12" t="str">
        <f t="shared" si="334"/>
        <v/>
      </c>
      <c r="AU184" s="12" t="str">
        <f t="shared" si="335"/>
        <v/>
      </c>
      <c r="AV184" s="17"/>
      <c r="AX184" s="4"/>
    </row>
    <row r="185" spans="1:50" x14ac:dyDescent="0.25">
      <c r="A185" s="43" t="s">
        <v>275</v>
      </c>
      <c r="B185" s="52" t="s">
        <v>676</v>
      </c>
      <c r="C185" s="44"/>
      <c r="D185" s="43"/>
      <c r="E185" s="52" t="s">
        <v>533</v>
      </c>
      <c r="F185" s="46"/>
      <c r="G185" s="76" t="s">
        <v>666</v>
      </c>
      <c r="H185" s="48" t="s">
        <v>1093</v>
      </c>
      <c r="I185" s="48"/>
      <c r="J185" s="84" t="s">
        <v>1125</v>
      </c>
      <c r="K185" s="85"/>
      <c r="L185" s="47"/>
      <c r="M185" s="3">
        <v>5.875</v>
      </c>
      <c r="N185" s="3">
        <f t="shared" si="324"/>
        <v>3.3000000000000003</v>
      </c>
      <c r="O185" s="22">
        <v>0.1</v>
      </c>
      <c r="P185" s="23">
        <v>1</v>
      </c>
      <c r="Q185" s="3"/>
      <c r="R185" s="3"/>
      <c r="S185" s="3"/>
      <c r="T185" s="3">
        <f>3.05*(3.55-3.3)</f>
        <v>0.76249999999999996</v>
      </c>
      <c r="U185" s="3"/>
      <c r="V185" s="23"/>
      <c r="W185" s="3"/>
      <c r="X185" s="3"/>
      <c r="Y185" s="17"/>
      <c r="Z185" s="17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12">
        <f t="shared" si="325"/>
        <v>20.150000000000002</v>
      </c>
      <c r="AL185" s="12">
        <f t="shared" si="326"/>
        <v>20.150000000000002</v>
      </c>
      <c r="AM185" s="12">
        <f t="shared" si="327"/>
        <v>2.0150000000000001</v>
      </c>
      <c r="AN185" s="12">
        <f t="shared" si="328"/>
        <v>2.0150000000000001</v>
      </c>
      <c r="AO185" s="12" t="str">
        <f t="shared" si="329"/>
        <v/>
      </c>
      <c r="AP185" s="12">
        <f t="shared" si="330"/>
        <v>5.875</v>
      </c>
      <c r="AQ185" s="12" t="str">
        <f t="shared" si="331"/>
        <v/>
      </c>
      <c r="AR185" s="12" t="str">
        <f t="shared" si="332"/>
        <v/>
      </c>
      <c r="AS185" s="12" t="str">
        <f t="shared" si="333"/>
        <v/>
      </c>
      <c r="AT185" s="12" t="str">
        <f t="shared" si="334"/>
        <v/>
      </c>
      <c r="AU185" s="12" t="str">
        <f t="shared" si="335"/>
        <v/>
      </c>
      <c r="AV185" s="17"/>
      <c r="AX185" s="4"/>
    </row>
    <row r="186" spans="1:50" x14ac:dyDescent="0.25">
      <c r="A186" s="43" t="s">
        <v>275</v>
      </c>
      <c r="B186" s="52" t="s">
        <v>628</v>
      </c>
      <c r="C186" s="44"/>
      <c r="D186" s="43"/>
      <c r="E186" s="52" t="s">
        <v>533</v>
      </c>
      <c r="F186" s="46"/>
      <c r="G186" s="76" t="s">
        <v>667</v>
      </c>
      <c r="H186" s="48" t="s">
        <v>1092</v>
      </c>
      <c r="I186" s="48"/>
      <c r="J186" s="84" t="s">
        <v>1132</v>
      </c>
      <c r="K186" s="85"/>
      <c r="L186" s="47"/>
      <c r="M186" s="3">
        <f>3.8+1+2.9</f>
        <v>7.6999999999999993</v>
      </c>
      <c r="N186" s="3">
        <f t="shared" si="324"/>
        <v>3.3000000000000003</v>
      </c>
      <c r="O186" s="22">
        <v>0.2</v>
      </c>
      <c r="P186" s="23">
        <v>1</v>
      </c>
      <c r="Q186" s="3"/>
      <c r="R186" s="3">
        <f>1*2.2</f>
        <v>2.2000000000000002</v>
      </c>
      <c r="S186" s="3"/>
      <c r="T186" s="3">
        <f>1.05*(3.55-3.3)</f>
        <v>0.26250000000000001</v>
      </c>
      <c r="U186" s="3"/>
      <c r="V186" s="23"/>
      <c r="W186" s="3"/>
      <c r="X186" s="3"/>
      <c r="Y186" s="17"/>
      <c r="Z186" s="17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12">
        <f t="shared" si="325"/>
        <v>23.4725</v>
      </c>
      <c r="AL186" s="12">
        <f t="shared" si="326"/>
        <v>23.4725</v>
      </c>
      <c r="AM186" s="12">
        <f t="shared" si="327"/>
        <v>4.6945000000000006</v>
      </c>
      <c r="AN186" s="12">
        <f t="shared" si="328"/>
        <v>4.6945000000000006</v>
      </c>
      <c r="AO186" s="12" t="str">
        <f t="shared" si="329"/>
        <v/>
      </c>
      <c r="AP186" s="12">
        <f t="shared" si="330"/>
        <v>7.6999999999999993</v>
      </c>
      <c r="AQ186" s="12" t="str">
        <f t="shared" si="331"/>
        <v/>
      </c>
      <c r="AR186" s="12" t="str">
        <f t="shared" si="332"/>
        <v/>
      </c>
      <c r="AS186" s="12" t="str">
        <f t="shared" si="333"/>
        <v/>
      </c>
      <c r="AT186" s="12" t="str">
        <f t="shared" si="334"/>
        <v/>
      </c>
      <c r="AU186" s="12" t="str">
        <f t="shared" si="335"/>
        <v/>
      </c>
      <c r="AV186" s="17"/>
      <c r="AX186" s="4"/>
    </row>
    <row r="187" spans="1:50" x14ac:dyDescent="0.25">
      <c r="A187" s="43" t="s">
        <v>275</v>
      </c>
      <c r="B187" s="52" t="s">
        <v>628</v>
      </c>
      <c r="C187" s="44"/>
      <c r="D187" s="43"/>
      <c r="E187" s="52" t="s">
        <v>533</v>
      </c>
      <c r="F187" s="46"/>
      <c r="G187" s="76" t="s">
        <v>668</v>
      </c>
      <c r="H187" s="48" t="s">
        <v>1092</v>
      </c>
      <c r="I187" s="48"/>
      <c r="J187" s="84" t="s">
        <v>1132</v>
      </c>
      <c r="K187" s="85"/>
      <c r="L187" s="47"/>
      <c r="M187" s="3">
        <f>9.55-0.2</f>
        <v>9.3500000000000014</v>
      </c>
      <c r="N187" s="3">
        <f t="shared" si="323"/>
        <v>3.5500000000000003</v>
      </c>
      <c r="O187" s="22">
        <v>0.2</v>
      </c>
      <c r="P187" s="23">
        <v>1</v>
      </c>
      <c r="Q187" s="3"/>
      <c r="R187" s="3">
        <f>1.4*2.25</f>
        <v>3.15</v>
      </c>
      <c r="S187" s="3"/>
      <c r="T187" s="3"/>
      <c r="U187" s="3"/>
      <c r="V187" s="23"/>
      <c r="W187" s="3"/>
      <c r="X187" s="3"/>
      <c r="Y187" s="17"/>
      <c r="Z187" s="17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12">
        <f t="shared" si="325"/>
        <v>30.042500000000011</v>
      </c>
      <c r="AL187" s="12">
        <f t="shared" si="326"/>
        <v>30.042500000000011</v>
      </c>
      <c r="AM187" s="12">
        <f t="shared" si="327"/>
        <v>6.0085000000000024</v>
      </c>
      <c r="AN187" s="12">
        <f t="shared" si="328"/>
        <v>6.0085000000000024</v>
      </c>
      <c r="AO187" s="12" t="str">
        <f t="shared" si="329"/>
        <v/>
      </c>
      <c r="AP187" s="12">
        <f t="shared" si="330"/>
        <v>9.3500000000000014</v>
      </c>
      <c r="AQ187" s="12" t="str">
        <f t="shared" si="331"/>
        <v/>
      </c>
      <c r="AR187" s="12" t="str">
        <f t="shared" si="332"/>
        <v/>
      </c>
      <c r="AS187" s="12" t="str">
        <f t="shared" si="333"/>
        <v/>
      </c>
      <c r="AT187" s="12" t="str">
        <f t="shared" si="334"/>
        <v/>
      </c>
      <c r="AU187" s="12" t="str">
        <f t="shared" si="335"/>
        <v/>
      </c>
      <c r="AV187" s="17"/>
      <c r="AX187" s="4"/>
    </row>
    <row r="188" spans="1:50" x14ac:dyDescent="0.25">
      <c r="A188" s="43" t="s">
        <v>275</v>
      </c>
      <c r="B188" s="52" t="s">
        <v>628</v>
      </c>
      <c r="C188" s="44"/>
      <c r="D188" s="43"/>
      <c r="E188" s="52"/>
      <c r="F188" s="46"/>
      <c r="G188" s="76" t="s">
        <v>669</v>
      </c>
      <c r="H188" s="48" t="s">
        <v>1092</v>
      </c>
      <c r="I188" s="48"/>
      <c r="J188" s="84" t="s">
        <v>1131</v>
      </c>
      <c r="K188" s="85"/>
      <c r="L188" s="47"/>
      <c r="M188" s="3">
        <v>2.34</v>
      </c>
      <c r="N188" s="3">
        <f>1.5+0.2</f>
        <v>1.7</v>
      </c>
      <c r="O188" s="22">
        <v>0.2</v>
      </c>
      <c r="P188" s="23">
        <v>1</v>
      </c>
      <c r="Q188" s="3"/>
      <c r="R188" s="3"/>
      <c r="S188" s="3"/>
      <c r="T188" s="3"/>
      <c r="U188" s="3"/>
      <c r="V188" s="23"/>
      <c r="W188" s="3"/>
      <c r="X188" s="3"/>
      <c r="Y188" s="17"/>
      <c r="Z188" s="17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12">
        <f t="shared" si="325"/>
        <v>3.9779999999999998</v>
      </c>
      <c r="AL188" s="12">
        <f t="shared" si="326"/>
        <v>3.9779999999999998</v>
      </c>
      <c r="AM188" s="12">
        <f t="shared" si="327"/>
        <v>0.79559999999999997</v>
      </c>
      <c r="AN188" s="12">
        <f t="shared" si="328"/>
        <v>0.79559999999999997</v>
      </c>
      <c r="AO188" s="12" t="str">
        <f t="shared" si="329"/>
        <v/>
      </c>
      <c r="AP188" s="12">
        <f t="shared" si="330"/>
        <v>2.34</v>
      </c>
      <c r="AQ188" s="12" t="str">
        <f t="shared" si="331"/>
        <v/>
      </c>
      <c r="AR188" s="12" t="str">
        <f t="shared" si="332"/>
        <v/>
      </c>
      <c r="AS188" s="12" t="str">
        <f t="shared" si="333"/>
        <v/>
      </c>
      <c r="AT188" s="12" t="str">
        <f t="shared" si="334"/>
        <v/>
      </c>
      <c r="AU188" s="12" t="str">
        <f t="shared" si="335"/>
        <v/>
      </c>
      <c r="AV188" s="17"/>
      <c r="AX188" s="4"/>
    </row>
    <row r="189" spans="1:50" x14ac:dyDescent="0.25">
      <c r="A189" s="43" t="s">
        <v>275</v>
      </c>
      <c r="B189" s="52" t="s">
        <v>628</v>
      </c>
      <c r="C189" s="44"/>
      <c r="D189" s="43"/>
      <c r="E189" s="52"/>
      <c r="F189" s="46"/>
      <c r="G189" s="76" t="s">
        <v>670</v>
      </c>
      <c r="H189" s="48" t="s">
        <v>1092</v>
      </c>
      <c r="I189" s="48"/>
      <c r="J189" s="84" t="s">
        <v>1131</v>
      </c>
      <c r="K189" s="85"/>
      <c r="L189" s="47"/>
      <c r="M189" s="3">
        <f>0.75+0.15</f>
        <v>0.9</v>
      </c>
      <c r="N189" s="3">
        <f t="shared" si="323"/>
        <v>3.5500000000000003</v>
      </c>
      <c r="O189" s="22">
        <v>0.2</v>
      </c>
      <c r="P189" s="23">
        <v>1</v>
      </c>
      <c r="Q189" s="3"/>
      <c r="R189" s="3"/>
      <c r="S189" s="3"/>
      <c r="T189" s="3"/>
      <c r="U189" s="3"/>
      <c r="V189" s="23"/>
      <c r="W189" s="3"/>
      <c r="X189" s="3"/>
      <c r="Y189" s="17"/>
      <c r="Z189" s="17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12">
        <f t="shared" si="325"/>
        <v>3.1950000000000003</v>
      </c>
      <c r="AL189" s="12">
        <f t="shared" si="326"/>
        <v>3.1950000000000003</v>
      </c>
      <c r="AM189" s="12">
        <f t="shared" si="327"/>
        <v>0.63900000000000012</v>
      </c>
      <c r="AN189" s="12">
        <f t="shared" si="328"/>
        <v>0.63900000000000012</v>
      </c>
      <c r="AO189" s="12" t="str">
        <f t="shared" si="329"/>
        <v/>
      </c>
      <c r="AP189" s="12">
        <f t="shared" si="330"/>
        <v>0.9</v>
      </c>
      <c r="AQ189" s="12" t="str">
        <f t="shared" si="331"/>
        <v/>
      </c>
      <c r="AR189" s="12" t="str">
        <f t="shared" si="332"/>
        <v/>
      </c>
      <c r="AS189" s="12" t="str">
        <f t="shared" si="333"/>
        <v/>
      </c>
      <c r="AT189" s="12" t="str">
        <f t="shared" si="334"/>
        <v/>
      </c>
      <c r="AU189" s="12" t="str">
        <f t="shared" si="335"/>
        <v/>
      </c>
      <c r="AV189" s="17"/>
      <c r="AX189" s="4"/>
    </row>
    <row r="190" spans="1:50" x14ac:dyDescent="0.25">
      <c r="A190" s="43" t="s">
        <v>275</v>
      </c>
      <c r="B190" s="52" t="s">
        <v>628</v>
      </c>
      <c r="C190" s="44"/>
      <c r="D190" s="43"/>
      <c r="E190" s="52"/>
      <c r="F190" s="46"/>
      <c r="G190" s="76" t="s">
        <v>671</v>
      </c>
      <c r="H190" s="48" t="s">
        <v>1097</v>
      </c>
      <c r="I190" s="48"/>
      <c r="J190" s="84" t="s">
        <v>1131</v>
      </c>
      <c r="K190" s="85"/>
      <c r="L190" s="47"/>
      <c r="M190" s="3">
        <f>0.75+2.1</f>
        <v>2.85</v>
      </c>
      <c r="N190" s="3">
        <f>1.5+0.2</f>
        <v>1.7</v>
      </c>
      <c r="O190" s="22">
        <v>0.15</v>
      </c>
      <c r="P190" s="23">
        <v>1</v>
      </c>
      <c r="Q190" s="3"/>
      <c r="R190" s="3"/>
      <c r="S190" s="3"/>
      <c r="T190" s="3"/>
      <c r="U190" s="3"/>
      <c r="V190" s="23"/>
      <c r="W190" s="3"/>
      <c r="X190" s="3"/>
      <c r="Y190" s="17"/>
      <c r="Z190" s="17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12">
        <f t="shared" si="325"/>
        <v>4.8449999999999998</v>
      </c>
      <c r="AL190" s="12">
        <f t="shared" si="326"/>
        <v>4.8449999999999998</v>
      </c>
      <c r="AM190" s="12">
        <f t="shared" si="327"/>
        <v>0.7267499999999999</v>
      </c>
      <c r="AN190" s="12">
        <f t="shared" si="328"/>
        <v>0.7267499999999999</v>
      </c>
      <c r="AO190" s="12" t="str">
        <f t="shared" si="329"/>
        <v/>
      </c>
      <c r="AP190" s="12">
        <f t="shared" si="330"/>
        <v>2.85</v>
      </c>
      <c r="AQ190" s="12" t="str">
        <f t="shared" si="331"/>
        <v/>
      </c>
      <c r="AR190" s="12" t="str">
        <f t="shared" si="332"/>
        <v/>
      </c>
      <c r="AS190" s="12" t="str">
        <f t="shared" si="333"/>
        <v/>
      </c>
      <c r="AT190" s="12" t="str">
        <f t="shared" si="334"/>
        <v/>
      </c>
      <c r="AU190" s="12" t="str">
        <f t="shared" si="335"/>
        <v/>
      </c>
      <c r="AV190" s="17"/>
      <c r="AX190" s="4"/>
    </row>
    <row r="191" spans="1:50" x14ac:dyDescent="0.25">
      <c r="A191" s="43" t="s">
        <v>275</v>
      </c>
      <c r="B191" s="52" t="s">
        <v>628</v>
      </c>
      <c r="C191" s="44"/>
      <c r="D191" s="43"/>
      <c r="E191" s="52"/>
      <c r="F191" s="46"/>
      <c r="G191" s="76" t="s">
        <v>677</v>
      </c>
      <c r="H191" s="48" t="s">
        <v>1090</v>
      </c>
      <c r="I191" s="48"/>
      <c r="J191" s="84" t="s">
        <v>1131</v>
      </c>
      <c r="K191" s="85"/>
      <c r="L191" s="47" t="s">
        <v>1174</v>
      </c>
      <c r="M191" s="3">
        <f>1.4*2+0.28*2</f>
        <v>3.36</v>
      </c>
      <c r="N191" s="3">
        <f t="shared" si="323"/>
        <v>3.5500000000000003</v>
      </c>
      <c r="O191" s="22">
        <v>0.05</v>
      </c>
      <c r="P191" s="23">
        <v>1</v>
      </c>
      <c r="Q191" s="3"/>
      <c r="R191" s="3"/>
      <c r="S191" s="3"/>
      <c r="T191" s="3"/>
      <c r="U191" s="3"/>
      <c r="V191" s="23"/>
      <c r="W191" s="3"/>
      <c r="X191" s="3"/>
      <c r="Y191" s="17"/>
      <c r="Z191" s="17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12">
        <f t="shared" si="325"/>
        <v>11.928000000000001</v>
      </c>
      <c r="AL191" s="12">
        <f t="shared" si="326"/>
        <v>11.928000000000001</v>
      </c>
      <c r="AM191" s="12">
        <f t="shared" si="327"/>
        <v>0.59640000000000004</v>
      </c>
      <c r="AN191" s="12">
        <f t="shared" si="328"/>
        <v>0.59640000000000004</v>
      </c>
      <c r="AO191" s="12" t="str">
        <f t="shared" si="329"/>
        <v/>
      </c>
      <c r="AP191" s="12">
        <f t="shared" si="330"/>
        <v>3.36</v>
      </c>
      <c r="AQ191" s="12" t="str">
        <f t="shared" si="331"/>
        <v/>
      </c>
      <c r="AR191" s="12" t="str">
        <f t="shared" si="332"/>
        <v/>
      </c>
      <c r="AS191" s="12" t="str">
        <f t="shared" si="333"/>
        <v/>
      </c>
      <c r="AT191" s="12" t="str">
        <f t="shared" si="334"/>
        <v/>
      </c>
      <c r="AU191" s="12" t="str">
        <f t="shared" si="335"/>
        <v/>
      </c>
      <c r="AV191" s="17"/>
      <c r="AX191" s="4"/>
    </row>
    <row r="192" spans="1:50" x14ac:dyDescent="0.25">
      <c r="A192" s="43" t="s">
        <v>275</v>
      </c>
      <c r="B192" s="52" t="s">
        <v>628</v>
      </c>
      <c r="C192" s="44"/>
      <c r="D192" s="43"/>
      <c r="E192" s="52"/>
      <c r="F192" s="46"/>
      <c r="G192" s="76" t="s">
        <v>678</v>
      </c>
      <c r="H192" s="48" t="s">
        <v>1090</v>
      </c>
      <c r="I192" s="48"/>
      <c r="J192" s="84" t="s">
        <v>1131</v>
      </c>
      <c r="K192" s="85"/>
      <c r="L192" s="47" t="s">
        <v>1174</v>
      </c>
      <c r="M192" s="3">
        <f>1.125*2+0.28</f>
        <v>2.5300000000000002</v>
      </c>
      <c r="N192" s="3">
        <f t="shared" si="323"/>
        <v>3.5500000000000003</v>
      </c>
      <c r="O192" s="22">
        <v>0.05</v>
      </c>
      <c r="P192" s="23">
        <v>1</v>
      </c>
      <c r="Q192" s="3"/>
      <c r="R192" s="3"/>
      <c r="S192" s="3"/>
      <c r="T192" s="3"/>
      <c r="U192" s="3"/>
      <c r="V192" s="23"/>
      <c r="W192" s="3"/>
      <c r="X192" s="3"/>
      <c r="Y192" s="17"/>
      <c r="Z192" s="17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12">
        <f t="shared" si="325"/>
        <v>8.9815000000000023</v>
      </c>
      <c r="AL192" s="12">
        <f t="shared" si="326"/>
        <v>8.9815000000000023</v>
      </c>
      <c r="AM192" s="12">
        <f t="shared" si="327"/>
        <v>0.44907500000000011</v>
      </c>
      <c r="AN192" s="12">
        <f t="shared" si="328"/>
        <v>0.44907500000000011</v>
      </c>
      <c r="AO192" s="12" t="str">
        <f t="shared" si="329"/>
        <v/>
      </c>
      <c r="AP192" s="12">
        <f t="shared" si="330"/>
        <v>2.5300000000000002</v>
      </c>
      <c r="AQ192" s="12" t="str">
        <f t="shared" si="331"/>
        <v/>
      </c>
      <c r="AR192" s="12" t="str">
        <f t="shared" si="332"/>
        <v/>
      </c>
      <c r="AS192" s="12" t="str">
        <f t="shared" si="333"/>
        <v/>
      </c>
      <c r="AT192" s="12" t="str">
        <f t="shared" si="334"/>
        <v/>
      </c>
      <c r="AU192" s="12" t="str">
        <f t="shared" si="335"/>
        <v/>
      </c>
      <c r="AV192" s="17"/>
      <c r="AX192" s="4"/>
    </row>
    <row r="193" spans="1:50" x14ac:dyDescent="0.25">
      <c r="A193" s="43" t="s">
        <v>275</v>
      </c>
      <c r="B193" s="52" t="s">
        <v>537</v>
      </c>
      <c r="C193" s="44"/>
      <c r="D193" s="43"/>
      <c r="E193" s="52" t="s">
        <v>689</v>
      </c>
      <c r="F193" s="46"/>
      <c r="G193" s="76" t="s">
        <v>679</v>
      </c>
      <c r="H193" s="48" t="s">
        <v>1093</v>
      </c>
      <c r="I193" s="48"/>
      <c r="J193" s="84" t="s">
        <v>1125</v>
      </c>
      <c r="K193" s="85"/>
      <c r="L193" s="47"/>
      <c r="M193" s="3">
        <f>3.125+0.7+3.275+0.1+0.8+1.9</f>
        <v>9.8999999999999986</v>
      </c>
      <c r="N193" s="3">
        <f t="shared" si="323"/>
        <v>3.5500000000000003</v>
      </c>
      <c r="O193" s="22">
        <v>0.1</v>
      </c>
      <c r="P193" s="23">
        <v>1</v>
      </c>
      <c r="Q193" s="3"/>
      <c r="R193" s="3">
        <f>1.4*2.25</f>
        <v>3.15</v>
      </c>
      <c r="S193" s="3"/>
      <c r="T193" s="3"/>
      <c r="U193" s="3"/>
      <c r="V193" s="23"/>
      <c r="W193" s="3"/>
      <c r="X193" s="3"/>
      <c r="Y193" s="17"/>
      <c r="Z193" s="17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12">
        <f t="shared" si="325"/>
        <v>31.994999999999997</v>
      </c>
      <c r="AL193" s="12">
        <f t="shared" si="326"/>
        <v>31.994999999999997</v>
      </c>
      <c r="AM193" s="12">
        <f t="shared" si="327"/>
        <v>3.1995</v>
      </c>
      <c r="AN193" s="12">
        <f t="shared" si="328"/>
        <v>3.1995</v>
      </c>
      <c r="AO193" s="12" t="str">
        <f t="shared" si="329"/>
        <v/>
      </c>
      <c r="AP193" s="12">
        <f t="shared" si="330"/>
        <v>9.8999999999999986</v>
      </c>
      <c r="AQ193" s="12" t="str">
        <f t="shared" si="331"/>
        <v/>
      </c>
      <c r="AR193" s="12" t="str">
        <f t="shared" si="332"/>
        <v/>
      </c>
      <c r="AS193" s="12" t="str">
        <f t="shared" si="333"/>
        <v/>
      </c>
      <c r="AT193" s="12" t="str">
        <f t="shared" si="334"/>
        <v/>
      </c>
      <c r="AU193" s="12" t="str">
        <f t="shared" si="335"/>
        <v/>
      </c>
      <c r="AV193" s="17"/>
      <c r="AX193" s="4"/>
    </row>
    <row r="194" spans="1:50" x14ac:dyDescent="0.25">
      <c r="A194" s="43" t="s">
        <v>275</v>
      </c>
      <c r="B194" s="52" t="s">
        <v>537</v>
      </c>
      <c r="C194" s="44"/>
      <c r="D194" s="43"/>
      <c r="E194" s="52" t="s">
        <v>690</v>
      </c>
      <c r="F194" s="46"/>
      <c r="G194" s="76" t="s">
        <v>680</v>
      </c>
      <c r="H194" s="48" t="s">
        <v>1097</v>
      </c>
      <c r="I194" s="48"/>
      <c r="J194" s="84" t="s">
        <v>1141</v>
      </c>
      <c r="K194" s="85"/>
      <c r="L194" s="47"/>
      <c r="M194" s="3">
        <v>1</v>
      </c>
      <c r="N194" s="3">
        <f t="shared" si="323"/>
        <v>3.5500000000000003</v>
      </c>
      <c r="O194" s="22">
        <v>0.15</v>
      </c>
      <c r="P194" s="23">
        <v>1</v>
      </c>
      <c r="Q194" s="3"/>
      <c r="R194" s="3"/>
      <c r="S194" s="3"/>
      <c r="T194" s="3"/>
      <c r="U194" s="3"/>
      <c r="V194" s="23"/>
      <c r="W194" s="3"/>
      <c r="X194" s="3"/>
      <c r="Y194" s="17"/>
      <c r="Z194" s="17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12">
        <f t="shared" si="325"/>
        <v>3.5500000000000003</v>
      </c>
      <c r="AL194" s="12">
        <f t="shared" si="326"/>
        <v>3.5500000000000003</v>
      </c>
      <c r="AM194" s="12">
        <f t="shared" si="327"/>
        <v>0.53249999999999997</v>
      </c>
      <c r="AN194" s="12">
        <f t="shared" si="328"/>
        <v>0.53249999999999997</v>
      </c>
      <c r="AO194" s="12" t="str">
        <f t="shared" si="329"/>
        <v/>
      </c>
      <c r="AP194" s="12">
        <f t="shared" si="330"/>
        <v>1</v>
      </c>
      <c r="AQ194" s="12" t="str">
        <f t="shared" si="331"/>
        <v/>
      </c>
      <c r="AR194" s="12" t="str">
        <f t="shared" si="332"/>
        <v/>
      </c>
      <c r="AS194" s="12" t="str">
        <f t="shared" si="333"/>
        <v/>
      </c>
      <c r="AT194" s="12" t="str">
        <f t="shared" si="334"/>
        <v/>
      </c>
      <c r="AU194" s="12" t="str">
        <f t="shared" si="335"/>
        <v/>
      </c>
      <c r="AV194" s="17"/>
      <c r="AX194" s="4"/>
    </row>
    <row r="195" spans="1:50" x14ac:dyDescent="0.25">
      <c r="A195" s="43" t="s">
        <v>275</v>
      </c>
      <c r="B195" s="52" t="s">
        <v>537</v>
      </c>
      <c r="C195" s="44"/>
      <c r="D195" s="43"/>
      <c r="E195" s="52" t="s">
        <v>690</v>
      </c>
      <c r="F195" s="46"/>
      <c r="G195" s="76" t="s">
        <v>681</v>
      </c>
      <c r="H195" s="48" t="s">
        <v>1098</v>
      </c>
      <c r="I195" s="48"/>
      <c r="J195" s="84" t="s">
        <v>1141</v>
      </c>
      <c r="K195" s="85"/>
      <c r="L195" s="47"/>
      <c r="M195" s="3">
        <v>1.2</v>
      </c>
      <c r="N195" s="3">
        <f t="shared" si="323"/>
        <v>3.5500000000000003</v>
      </c>
      <c r="O195" s="22">
        <v>0.25</v>
      </c>
      <c r="P195" s="23">
        <v>1</v>
      </c>
      <c r="Q195" s="3"/>
      <c r="R195" s="3"/>
      <c r="S195" s="3"/>
      <c r="T195" s="3"/>
      <c r="U195" s="3"/>
      <c r="V195" s="23"/>
      <c r="W195" s="3"/>
      <c r="X195" s="3"/>
      <c r="Y195" s="17"/>
      <c r="Z195" s="17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12">
        <f t="shared" si="325"/>
        <v>4.26</v>
      </c>
      <c r="AL195" s="12">
        <f t="shared" si="326"/>
        <v>4.26</v>
      </c>
      <c r="AM195" s="12">
        <f t="shared" si="327"/>
        <v>1.0649999999999999</v>
      </c>
      <c r="AN195" s="12">
        <f t="shared" si="328"/>
        <v>1.0649999999999999</v>
      </c>
      <c r="AO195" s="12" t="str">
        <f t="shared" si="329"/>
        <v/>
      </c>
      <c r="AP195" s="12">
        <f t="shared" si="330"/>
        <v>1.2</v>
      </c>
      <c r="AQ195" s="12" t="str">
        <f t="shared" si="331"/>
        <v/>
      </c>
      <c r="AR195" s="12" t="str">
        <f t="shared" si="332"/>
        <v/>
      </c>
      <c r="AS195" s="12" t="str">
        <f t="shared" si="333"/>
        <v/>
      </c>
      <c r="AT195" s="12" t="str">
        <f t="shared" si="334"/>
        <v/>
      </c>
      <c r="AU195" s="12" t="str">
        <f t="shared" si="335"/>
        <v/>
      </c>
      <c r="AV195" s="17"/>
      <c r="AX195" s="4"/>
    </row>
    <row r="196" spans="1:50" x14ac:dyDescent="0.25">
      <c r="A196" s="43" t="s">
        <v>275</v>
      </c>
      <c r="B196" s="52" t="s">
        <v>537</v>
      </c>
      <c r="C196" s="44"/>
      <c r="D196" s="43"/>
      <c r="E196" s="52" t="s">
        <v>691</v>
      </c>
      <c r="F196" s="46"/>
      <c r="G196" s="76" t="s">
        <v>682</v>
      </c>
      <c r="H196" s="48" t="s">
        <v>1097</v>
      </c>
      <c r="I196" s="48"/>
      <c r="J196" s="84" t="s">
        <v>1141</v>
      </c>
      <c r="K196" s="85"/>
      <c r="L196" s="47"/>
      <c r="M196" s="3">
        <v>2.5</v>
      </c>
      <c r="N196" s="3">
        <f t="shared" si="323"/>
        <v>3.5500000000000003</v>
      </c>
      <c r="O196" s="22">
        <v>0.15</v>
      </c>
      <c r="P196" s="23">
        <v>1</v>
      </c>
      <c r="Q196" s="3"/>
      <c r="R196" s="3"/>
      <c r="S196" s="3"/>
      <c r="T196" s="3"/>
      <c r="U196" s="3"/>
      <c r="V196" s="23"/>
      <c r="W196" s="3"/>
      <c r="X196" s="3"/>
      <c r="Y196" s="17"/>
      <c r="Z196" s="17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12">
        <f t="shared" si="325"/>
        <v>8.875</v>
      </c>
      <c r="AL196" s="12">
        <f t="shared" si="326"/>
        <v>8.875</v>
      </c>
      <c r="AM196" s="12">
        <f t="shared" si="327"/>
        <v>1.33125</v>
      </c>
      <c r="AN196" s="12">
        <f t="shared" si="328"/>
        <v>1.33125</v>
      </c>
      <c r="AO196" s="12" t="str">
        <f t="shared" si="329"/>
        <v/>
      </c>
      <c r="AP196" s="12">
        <f t="shared" si="330"/>
        <v>2.5</v>
      </c>
      <c r="AQ196" s="12" t="str">
        <f t="shared" si="331"/>
        <v/>
      </c>
      <c r="AR196" s="12" t="str">
        <f t="shared" si="332"/>
        <v/>
      </c>
      <c r="AS196" s="12" t="str">
        <f t="shared" si="333"/>
        <v/>
      </c>
      <c r="AT196" s="12" t="str">
        <f t="shared" si="334"/>
        <v/>
      </c>
      <c r="AU196" s="12" t="str">
        <f t="shared" si="335"/>
        <v/>
      </c>
      <c r="AV196" s="17"/>
      <c r="AX196" s="4"/>
    </row>
    <row r="197" spans="1:50" x14ac:dyDescent="0.25">
      <c r="A197" s="43" t="s">
        <v>275</v>
      </c>
      <c r="B197" s="52" t="s">
        <v>537</v>
      </c>
      <c r="C197" s="44"/>
      <c r="D197" s="43"/>
      <c r="E197" s="52" t="s">
        <v>691</v>
      </c>
      <c r="F197" s="46"/>
      <c r="G197" s="76" t="s">
        <v>683</v>
      </c>
      <c r="H197" s="48" t="s">
        <v>1093</v>
      </c>
      <c r="I197" s="48"/>
      <c r="J197" s="84" t="s">
        <v>1132</v>
      </c>
      <c r="K197" s="85"/>
      <c r="L197" s="47"/>
      <c r="M197" s="3">
        <v>2</v>
      </c>
      <c r="N197" s="3">
        <f t="shared" si="323"/>
        <v>3.5500000000000003</v>
      </c>
      <c r="O197" s="22">
        <v>0.1</v>
      </c>
      <c r="P197" s="23">
        <v>1</v>
      </c>
      <c r="Q197" s="3"/>
      <c r="R197" s="3"/>
      <c r="S197" s="3"/>
      <c r="T197" s="3"/>
      <c r="U197" s="3"/>
      <c r="V197" s="23"/>
      <c r="W197" s="3"/>
      <c r="X197" s="3"/>
      <c r="Y197" s="17"/>
      <c r="Z197" s="17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12">
        <f t="shared" si="325"/>
        <v>7.1000000000000005</v>
      </c>
      <c r="AL197" s="12">
        <f t="shared" si="326"/>
        <v>7.1000000000000005</v>
      </c>
      <c r="AM197" s="12">
        <f t="shared" si="327"/>
        <v>0.71000000000000008</v>
      </c>
      <c r="AN197" s="12">
        <f t="shared" si="328"/>
        <v>0.71000000000000008</v>
      </c>
      <c r="AO197" s="12" t="str">
        <f t="shared" si="329"/>
        <v/>
      </c>
      <c r="AP197" s="12">
        <f t="shared" si="330"/>
        <v>2</v>
      </c>
      <c r="AQ197" s="12" t="str">
        <f t="shared" si="331"/>
        <v/>
      </c>
      <c r="AR197" s="12" t="str">
        <f t="shared" si="332"/>
        <v/>
      </c>
      <c r="AS197" s="12" t="str">
        <f t="shared" si="333"/>
        <v/>
      </c>
      <c r="AT197" s="12" t="str">
        <f t="shared" si="334"/>
        <v/>
      </c>
      <c r="AU197" s="12" t="str">
        <f t="shared" si="335"/>
        <v/>
      </c>
      <c r="AV197" s="17"/>
      <c r="AX197" s="4"/>
    </row>
    <row r="198" spans="1:50" x14ac:dyDescent="0.25">
      <c r="A198" s="43" t="s">
        <v>275</v>
      </c>
      <c r="B198" s="52" t="s">
        <v>691</v>
      </c>
      <c r="C198" s="44"/>
      <c r="D198" s="43"/>
      <c r="E198" s="52" t="s">
        <v>690</v>
      </c>
      <c r="F198" s="46"/>
      <c r="G198" s="76" t="s">
        <v>684</v>
      </c>
      <c r="H198" s="48" t="s">
        <v>1093</v>
      </c>
      <c r="I198" s="48"/>
      <c r="J198" s="84" t="s">
        <v>1131</v>
      </c>
      <c r="K198" s="85"/>
      <c r="L198" s="47"/>
      <c r="M198" s="3">
        <v>2</v>
      </c>
      <c r="N198" s="3">
        <f t="shared" si="323"/>
        <v>3.5500000000000003</v>
      </c>
      <c r="O198" s="22">
        <v>0.1</v>
      </c>
      <c r="P198" s="23">
        <v>1</v>
      </c>
      <c r="Q198" s="3"/>
      <c r="R198" s="3"/>
      <c r="S198" s="3"/>
      <c r="T198" s="3"/>
      <c r="U198" s="3"/>
      <c r="V198" s="23"/>
      <c r="W198" s="3"/>
      <c r="X198" s="3"/>
      <c r="Y198" s="17"/>
      <c r="Z198" s="17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12">
        <f t="shared" si="325"/>
        <v>7.1000000000000005</v>
      </c>
      <c r="AL198" s="12">
        <f t="shared" si="326"/>
        <v>7.1000000000000005</v>
      </c>
      <c r="AM198" s="12">
        <f t="shared" si="327"/>
        <v>0.71000000000000008</v>
      </c>
      <c r="AN198" s="12">
        <f t="shared" si="328"/>
        <v>0.71000000000000008</v>
      </c>
      <c r="AO198" s="12" t="str">
        <f t="shared" si="329"/>
        <v/>
      </c>
      <c r="AP198" s="12">
        <f t="shared" si="330"/>
        <v>2</v>
      </c>
      <c r="AQ198" s="12" t="str">
        <f t="shared" si="331"/>
        <v/>
      </c>
      <c r="AR198" s="12" t="str">
        <f t="shared" si="332"/>
        <v/>
      </c>
      <c r="AS198" s="12" t="str">
        <f t="shared" si="333"/>
        <v/>
      </c>
      <c r="AT198" s="12" t="str">
        <f t="shared" si="334"/>
        <v/>
      </c>
      <c r="AU198" s="12" t="str">
        <f t="shared" si="335"/>
        <v/>
      </c>
      <c r="AV198" s="17"/>
      <c r="AX198" s="4"/>
    </row>
    <row r="199" spans="1:50" x14ac:dyDescent="0.25">
      <c r="A199" s="43" t="s">
        <v>275</v>
      </c>
      <c r="B199" s="52" t="s">
        <v>690</v>
      </c>
      <c r="C199" s="44"/>
      <c r="D199" s="43"/>
      <c r="E199" s="52"/>
      <c r="F199" s="46"/>
      <c r="G199" s="76" t="s">
        <v>685</v>
      </c>
      <c r="H199" s="48" t="s">
        <v>1093</v>
      </c>
      <c r="I199" s="48"/>
      <c r="J199" s="84" t="s">
        <v>1131</v>
      </c>
      <c r="K199" s="85"/>
      <c r="L199" s="47"/>
      <c r="M199" s="3">
        <v>1.9</v>
      </c>
      <c r="N199" s="3">
        <f t="shared" si="323"/>
        <v>3.5500000000000003</v>
      </c>
      <c r="O199" s="22">
        <v>0.1</v>
      </c>
      <c r="P199" s="23">
        <v>1</v>
      </c>
      <c r="Q199" s="3"/>
      <c r="R199" s="3">
        <f>0.8*2.25</f>
        <v>1.8</v>
      </c>
      <c r="S199" s="3"/>
      <c r="T199" s="3"/>
      <c r="U199" s="3"/>
      <c r="V199" s="23"/>
      <c r="W199" s="3"/>
      <c r="X199" s="3"/>
      <c r="Y199" s="17"/>
      <c r="Z199" s="17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12">
        <f t="shared" si="325"/>
        <v>4.9450000000000003</v>
      </c>
      <c r="AL199" s="12">
        <f t="shared" si="326"/>
        <v>4.9450000000000003</v>
      </c>
      <c r="AM199" s="12">
        <f t="shared" si="327"/>
        <v>0.49450000000000005</v>
      </c>
      <c r="AN199" s="12">
        <f t="shared" si="328"/>
        <v>0.49450000000000005</v>
      </c>
      <c r="AO199" s="12" t="str">
        <f t="shared" si="329"/>
        <v/>
      </c>
      <c r="AP199" s="12">
        <f t="shared" si="330"/>
        <v>1.9</v>
      </c>
      <c r="AQ199" s="12" t="str">
        <f t="shared" si="331"/>
        <v/>
      </c>
      <c r="AR199" s="12" t="str">
        <f t="shared" si="332"/>
        <v/>
      </c>
      <c r="AS199" s="12" t="str">
        <f t="shared" si="333"/>
        <v/>
      </c>
      <c r="AT199" s="12" t="str">
        <f t="shared" si="334"/>
        <v/>
      </c>
      <c r="AU199" s="12" t="str">
        <f t="shared" si="335"/>
        <v/>
      </c>
      <c r="AV199" s="17"/>
      <c r="AX199" s="4"/>
    </row>
    <row r="200" spans="1:50" x14ac:dyDescent="0.25">
      <c r="A200" s="43" t="s">
        <v>275</v>
      </c>
      <c r="B200" s="52" t="s">
        <v>690</v>
      </c>
      <c r="C200" s="44"/>
      <c r="D200" s="43"/>
      <c r="E200" s="52" t="s">
        <v>533</v>
      </c>
      <c r="F200" s="46"/>
      <c r="G200" s="76" t="s">
        <v>686</v>
      </c>
      <c r="H200" s="48" t="s">
        <v>1093</v>
      </c>
      <c r="I200" s="48"/>
      <c r="J200" s="84" t="s">
        <v>1132</v>
      </c>
      <c r="K200" s="85"/>
      <c r="L200" s="47"/>
      <c r="M200" s="3">
        <v>2</v>
      </c>
      <c r="N200" s="3">
        <f t="shared" si="323"/>
        <v>3.5500000000000003</v>
      </c>
      <c r="O200" s="22">
        <v>0.1</v>
      </c>
      <c r="P200" s="23">
        <v>1</v>
      </c>
      <c r="Q200" s="3"/>
      <c r="R200" s="3"/>
      <c r="S200" s="3"/>
      <c r="T200" s="3"/>
      <c r="U200" s="3"/>
      <c r="V200" s="23"/>
      <c r="W200" s="3"/>
      <c r="X200" s="3"/>
      <c r="Y200" s="17"/>
      <c r="Z200" s="17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12">
        <f t="shared" si="325"/>
        <v>7.1000000000000005</v>
      </c>
      <c r="AL200" s="12">
        <f t="shared" si="326"/>
        <v>7.1000000000000005</v>
      </c>
      <c r="AM200" s="12">
        <f t="shared" si="327"/>
        <v>0.71000000000000008</v>
      </c>
      <c r="AN200" s="12">
        <f t="shared" si="328"/>
        <v>0.71000000000000008</v>
      </c>
      <c r="AO200" s="12" t="str">
        <f t="shared" si="329"/>
        <v/>
      </c>
      <c r="AP200" s="12">
        <f t="shared" si="330"/>
        <v>2</v>
      </c>
      <c r="AQ200" s="12" t="str">
        <f t="shared" si="331"/>
        <v/>
      </c>
      <c r="AR200" s="12" t="str">
        <f t="shared" si="332"/>
        <v/>
      </c>
      <c r="AS200" s="12" t="str">
        <f t="shared" si="333"/>
        <v/>
      </c>
      <c r="AT200" s="12" t="str">
        <f t="shared" si="334"/>
        <v/>
      </c>
      <c r="AU200" s="12" t="str">
        <f t="shared" si="335"/>
        <v/>
      </c>
      <c r="AV200" s="17"/>
      <c r="AX200" s="4"/>
    </row>
    <row r="201" spans="1:50" x14ac:dyDescent="0.25">
      <c r="A201" s="43" t="s">
        <v>275</v>
      </c>
      <c r="B201" s="52" t="s">
        <v>692</v>
      </c>
      <c r="C201" s="44"/>
      <c r="D201" s="43"/>
      <c r="E201" s="52" t="s">
        <v>533</v>
      </c>
      <c r="F201" s="46"/>
      <c r="G201" s="76" t="s">
        <v>687</v>
      </c>
      <c r="H201" s="48" t="s">
        <v>1093</v>
      </c>
      <c r="I201" s="48"/>
      <c r="J201" s="84" t="s">
        <v>1125</v>
      </c>
      <c r="K201" s="85"/>
      <c r="L201" s="47"/>
      <c r="M201" s="3">
        <f>0.7+2.85</f>
        <v>3.55</v>
      </c>
      <c r="N201" s="3">
        <f t="shared" si="323"/>
        <v>3.5500000000000003</v>
      </c>
      <c r="O201" s="22">
        <v>0.1</v>
      </c>
      <c r="P201" s="23">
        <v>1</v>
      </c>
      <c r="Q201" s="3"/>
      <c r="R201" s="3">
        <f>0.9*2.25</f>
        <v>2.0249999999999999</v>
      </c>
      <c r="S201" s="3"/>
      <c r="T201" s="3"/>
      <c r="U201" s="3"/>
      <c r="V201" s="23"/>
      <c r="W201" s="3"/>
      <c r="X201" s="3"/>
      <c r="Y201" s="17"/>
      <c r="Z201" s="17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12">
        <f t="shared" si="325"/>
        <v>10.577500000000001</v>
      </c>
      <c r="AL201" s="12">
        <f t="shared" si="326"/>
        <v>10.577500000000001</v>
      </c>
      <c r="AM201" s="12">
        <f t="shared" si="327"/>
        <v>1.0577500000000002</v>
      </c>
      <c r="AN201" s="12">
        <f t="shared" si="328"/>
        <v>1.0577500000000002</v>
      </c>
      <c r="AO201" s="12" t="str">
        <f t="shared" si="329"/>
        <v/>
      </c>
      <c r="AP201" s="12">
        <f t="shared" si="330"/>
        <v>3.55</v>
      </c>
      <c r="AQ201" s="12" t="str">
        <f t="shared" si="331"/>
        <v/>
      </c>
      <c r="AR201" s="12" t="str">
        <f t="shared" si="332"/>
        <v/>
      </c>
      <c r="AS201" s="12" t="str">
        <f t="shared" si="333"/>
        <v/>
      </c>
      <c r="AT201" s="12" t="str">
        <f t="shared" si="334"/>
        <v/>
      </c>
      <c r="AU201" s="12" t="str">
        <f t="shared" si="335"/>
        <v/>
      </c>
      <c r="AV201" s="17"/>
      <c r="AX201" s="4"/>
    </row>
    <row r="202" spans="1:50" x14ac:dyDescent="0.25">
      <c r="A202" s="43" t="s">
        <v>275</v>
      </c>
      <c r="B202" s="52" t="s">
        <v>692</v>
      </c>
      <c r="C202" s="44"/>
      <c r="D202" s="43"/>
      <c r="E202" s="52" t="s">
        <v>517</v>
      </c>
      <c r="F202" s="46"/>
      <c r="G202" s="76" t="s">
        <v>688</v>
      </c>
      <c r="H202" s="48" t="s">
        <v>1096</v>
      </c>
      <c r="I202" s="48"/>
      <c r="J202" s="84" t="s">
        <v>1129</v>
      </c>
      <c r="K202" s="85"/>
      <c r="L202" s="47" t="s">
        <v>693</v>
      </c>
      <c r="M202" s="3">
        <v>1.79</v>
      </c>
      <c r="N202" s="3">
        <f t="shared" si="323"/>
        <v>3.5500000000000003</v>
      </c>
      <c r="O202" s="22">
        <v>0.2</v>
      </c>
      <c r="P202" s="23">
        <v>1</v>
      </c>
      <c r="Q202" s="3"/>
      <c r="R202" s="3"/>
      <c r="S202" s="3"/>
      <c r="T202" s="3"/>
      <c r="U202" s="3"/>
      <c r="V202" s="23"/>
      <c r="W202" s="3"/>
      <c r="X202" s="3"/>
      <c r="Y202" s="17"/>
      <c r="Z202" s="17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12">
        <f t="shared" si="325"/>
        <v>6.3545000000000007</v>
      </c>
      <c r="AL202" s="12">
        <f t="shared" si="326"/>
        <v>6.3545000000000007</v>
      </c>
      <c r="AM202" s="12">
        <f t="shared" si="327"/>
        <v>1.2709000000000001</v>
      </c>
      <c r="AN202" s="12">
        <f t="shared" si="328"/>
        <v>1.2709000000000001</v>
      </c>
      <c r="AO202" s="12" t="str">
        <f t="shared" si="329"/>
        <v/>
      </c>
      <c r="AP202" s="12">
        <f t="shared" si="330"/>
        <v>1.79</v>
      </c>
      <c r="AQ202" s="12" t="str">
        <f t="shared" si="331"/>
        <v/>
      </c>
      <c r="AR202" s="12" t="str">
        <f t="shared" si="332"/>
        <v/>
      </c>
      <c r="AS202" s="12" t="str">
        <f t="shared" si="333"/>
        <v/>
      </c>
      <c r="AT202" s="12" t="str">
        <f t="shared" si="334"/>
        <v/>
      </c>
      <c r="AU202" s="12" t="str">
        <f t="shared" si="335"/>
        <v/>
      </c>
      <c r="AV202" s="17"/>
      <c r="AX202" s="4"/>
    </row>
    <row r="203" spans="1:50" x14ac:dyDescent="0.25">
      <c r="A203" s="43"/>
      <c r="B203" s="52"/>
      <c r="C203" s="44"/>
      <c r="D203" s="43"/>
      <c r="E203" s="52"/>
      <c r="F203" s="46"/>
      <c r="G203" s="76"/>
      <c r="H203" s="48"/>
      <c r="I203" s="48"/>
      <c r="J203" s="84"/>
      <c r="K203" s="85"/>
      <c r="L203" s="47"/>
      <c r="M203" s="3"/>
      <c r="N203" s="3"/>
      <c r="O203" s="22"/>
      <c r="P203" s="23"/>
      <c r="Q203" s="3"/>
      <c r="R203" s="3"/>
      <c r="S203" s="3"/>
      <c r="T203" s="3"/>
      <c r="U203" s="3"/>
      <c r="V203" s="23"/>
      <c r="W203" s="3"/>
      <c r="X203" s="3"/>
      <c r="Y203" s="17"/>
      <c r="Z203" s="17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12" t="str">
        <f t="shared" si="167"/>
        <v/>
      </c>
      <c r="AL203" s="12" t="str">
        <f t="shared" si="168"/>
        <v/>
      </c>
      <c r="AM203" s="12" t="str">
        <f t="shared" si="169"/>
        <v/>
      </c>
      <c r="AN203" s="12" t="str">
        <f t="shared" si="170"/>
        <v/>
      </c>
      <c r="AO203" s="12" t="str">
        <f t="shared" si="171"/>
        <v/>
      </c>
      <c r="AP203" s="12" t="str">
        <f t="shared" si="172"/>
        <v/>
      </c>
      <c r="AQ203" s="12" t="str">
        <f t="shared" si="173"/>
        <v/>
      </c>
      <c r="AR203" s="12" t="str">
        <f t="shared" si="174"/>
        <v/>
      </c>
      <c r="AS203" s="12" t="str">
        <f t="shared" si="175"/>
        <v/>
      </c>
      <c r="AT203" s="12" t="str">
        <f t="shared" si="176"/>
        <v/>
      </c>
      <c r="AU203" s="12" t="str">
        <f t="shared" si="177"/>
        <v/>
      </c>
      <c r="AV203" s="17"/>
      <c r="AX203" s="4"/>
    </row>
    <row r="204" spans="1:50" x14ac:dyDescent="0.25">
      <c r="A204" s="53" t="s">
        <v>212</v>
      </c>
      <c r="B204" s="52"/>
      <c r="C204" s="44"/>
      <c r="D204" s="43"/>
      <c r="E204" s="52"/>
      <c r="F204" s="46"/>
      <c r="G204" s="76"/>
      <c r="H204" s="48"/>
      <c r="I204" s="48"/>
      <c r="J204" s="84"/>
      <c r="K204" s="85"/>
      <c r="L204" s="47"/>
      <c r="M204" s="3"/>
      <c r="N204" s="3"/>
      <c r="O204" s="22"/>
      <c r="P204" s="23"/>
      <c r="Q204" s="3"/>
      <c r="R204" s="3"/>
      <c r="S204" s="3"/>
      <c r="T204" s="3"/>
      <c r="U204" s="3"/>
      <c r="V204" s="23"/>
      <c r="W204" s="3"/>
      <c r="X204" s="3"/>
      <c r="Y204" s="17"/>
      <c r="Z204" s="17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12" t="str">
        <f t="shared" si="167"/>
        <v/>
      </c>
      <c r="AL204" s="12" t="str">
        <f t="shared" si="168"/>
        <v/>
      </c>
      <c r="AM204" s="12" t="str">
        <f t="shared" si="169"/>
        <v/>
      </c>
      <c r="AN204" s="12" t="str">
        <f t="shared" si="170"/>
        <v/>
      </c>
      <c r="AO204" s="12" t="str">
        <f t="shared" si="171"/>
        <v/>
      </c>
      <c r="AP204" s="12" t="str">
        <f t="shared" si="172"/>
        <v/>
      </c>
      <c r="AQ204" s="12" t="str">
        <f t="shared" si="173"/>
        <v/>
      </c>
      <c r="AR204" s="12" t="str">
        <f t="shared" si="174"/>
        <v/>
      </c>
      <c r="AS204" s="12" t="str">
        <f t="shared" si="175"/>
        <v/>
      </c>
      <c r="AT204" s="12" t="str">
        <f t="shared" si="176"/>
        <v/>
      </c>
      <c r="AU204" s="12" t="str">
        <f t="shared" si="177"/>
        <v/>
      </c>
      <c r="AV204" s="17"/>
      <c r="AX204" s="4"/>
    </row>
    <row r="205" spans="1:50" x14ac:dyDescent="0.25">
      <c r="A205" s="43" t="s">
        <v>276</v>
      </c>
      <c r="B205" s="52"/>
      <c r="C205" s="44"/>
      <c r="D205" s="43"/>
      <c r="E205" s="52"/>
      <c r="F205" s="46"/>
      <c r="G205" s="76" t="s">
        <v>277</v>
      </c>
      <c r="H205" s="48" t="s">
        <v>334</v>
      </c>
      <c r="I205" s="48"/>
      <c r="J205" s="84"/>
      <c r="K205" s="85"/>
      <c r="L205" s="47" t="s">
        <v>294</v>
      </c>
      <c r="M205" s="3">
        <f>1.2+2.15*6+1.2</f>
        <v>15.299999999999997</v>
      </c>
      <c r="N205" s="3">
        <f>4.13-3.55</f>
        <v>0.58000000000000007</v>
      </c>
      <c r="O205" s="22">
        <v>0.24</v>
      </c>
      <c r="P205" s="23">
        <v>1</v>
      </c>
      <c r="Q205" s="3"/>
      <c r="R205" s="3"/>
      <c r="S205" s="3"/>
      <c r="T205" s="3"/>
      <c r="U205" s="3"/>
      <c r="V205" s="23"/>
      <c r="W205" s="3"/>
      <c r="X205" s="3"/>
      <c r="Y205" s="17"/>
      <c r="Z205" s="17"/>
      <c r="AA205" s="3">
        <f>(0.24-0.18)*0.58*14</f>
        <v>0.48719999999999997</v>
      </c>
      <c r="AB205" s="3"/>
      <c r="AC205" s="3">
        <f t="shared" si="72"/>
        <v>17.747999999999998</v>
      </c>
      <c r="AD205" s="3"/>
      <c r="AE205" s="3"/>
      <c r="AF205" s="3"/>
      <c r="AG205" s="3"/>
      <c r="AH205" s="3"/>
      <c r="AI205" s="3"/>
      <c r="AJ205" s="3"/>
      <c r="AK205" s="12">
        <f t="shared" si="167"/>
        <v>8.8739999999999988</v>
      </c>
      <c r="AL205" s="12">
        <f t="shared" si="168"/>
        <v>8.8739999999999988</v>
      </c>
      <c r="AM205" s="12">
        <f t="shared" si="169"/>
        <v>2.1297599999999997</v>
      </c>
      <c r="AN205" s="12">
        <f t="shared" si="170"/>
        <v>2.1297599999999997</v>
      </c>
      <c r="AO205" s="12" t="str">
        <f t="shared" si="171"/>
        <v/>
      </c>
      <c r="AP205" s="12">
        <f t="shared" si="172"/>
        <v>15.299999999999997</v>
      </c>
      <c r="AQ205" s="12">
        <f t="shared" si="173"/>
        <v>0.48719999999999997</v>
      </c>
      <c r="AR205" s="12">
        <f t="shared" si="174"/>
        <v>17.747999999999998</v>
      </c>
      <c r="AS205" s="12" t="str">
        <f t="shared" si="175"/>
        <v/>
      </c>
      <c r="AT205" s="12" t="str">
        <f t="shared" si="176"/>
        <v/>
      </c>
      <c r="AU205" s="12" t="str">
        <f t="shared" si="177"/>
        <v/>
      </c>
      <c r="AV205" s="17"/>
      <c r="AX205" s="4"/>
    </row>
    <row r="206" spans="1:50" x14ac:dyDescent="0.25">
      <c r="A206" s="43" t="s">
        <v>276</v>
      </c>
      <c r="B206" s="52"/>
      <c r="C206" s="44"/>
      <c r="D206" s="43"/>
      <c r="E206" s="52"/>
      <c r="F206" s="46"/>
      <c r="G206" s="76"/>
      <c r="H206" s="48" t="s">
        <v>334</v>
      </c>
      <c r="I206" s="48"/>
      <c r="J206" s="84"/>
      <c r="K206" s="85"/>
      <c r="L206" s="47" t="s">
        <v>295</v>
      </c>
      <c r="M206" s="3">
        <f>2.1*7</f>
        <v>14.700000000000001</v>
      </c>
      <c r="N206" s="3">
        <v>0.57999999999999996</v>
      </c>
      <c r="O206" s="22">
        <v>0.18</v>
      </c>
      <c r="P206" s="23">
        <v>1</v>
      </c>
      <c r="Q206" s="3"/>
      <c r="R206" s="3"/>
      <c r="S206" s="3"/>
      <c r="T206" s="3"/>
      <c r="U206" s="3"/>
      <c r="V206" s="23"/>
      <c r="W206" s="3"/>
      <c r="X206" s="3"/>
      <c r="Y206" s="17"/>
      <c r="Z206" s="17"/>
      <c r="AA206" s="3"/>
      <c r="AB206" s="3"/>
      <c r="AC206" s="3">
        <f t="shared" si="72"/>
        <v>17.052</v>
      </c>
      <c r="AD206" s="3"/>
      <c r="AE206" s="3"/>
      <c r="AF206" s="3"/>
      <c r="AG206" s="3"/>
      <c r="AH206" s="3"/>
      <c r="AI206" s="3"/>
      <c r="AJ206" s="3"/>
      <c r="AK206" s="12">
        <f t="shared" si="115"/>
        <v>8.5259999999999998</v>
      </c>
      <c r="AL206" s="12">
        <f t="shared" si="116"/>
        <v>8.5259999999999998</v>
      </c>
      <c r="AM206" s="12">
        <f t="shared" si="117"/>
        <v>1.5346799999999998</v>
      </c>
      <c r="AN206" s="12">
        <f t="shared" si="118"/>
        <v>1.5346799999999998</v>
      </c>
      <c r="AO206" s="12" t="str">
        <f t="shared" si="119"/>
        <v/>
      </c>
      <c r="AP206" s="12">
        <f t="shared" si="120"/>
        <v>14.700000000000001</v>
      </c>
      <c r="AQ206" s="12" t="str">
        <f t="shared" si="121"/>
        <v/>
      </c>
      <c r="AR206" s="12">
        <f t="shared" si="122"/>
        <v>17.052</v>
      </c>
      <c r="AS206" s="12" t="str">
        <f t="shared" si="164"/>
        <v/>
      </c>
      <c r="AT206" s="12" t="str">
        <f t="shared" si="165"/>
        <v/>
      </c>
      <c r="AU206" s="12" t="str">
        <f t="shared" si="166"/>
        <v/>
      </c>
      <c r="AV206" s="17"/>
      <c r="AX206" s="4"/>
    </row>
    <row r="207" spans="1:50" x14ac:dyDescent="0.25">
      <c r="A207" s="43" t="s">
        <v>276</v>
      </c>
      <c r="B207" s="52"/>
      <c r="C207" s="44"/>
      <c r="D207" s="43"/>
      <c r="E207" s="52"/>
      <c r="F207" s="46"/>
      <c r="G207" s="76" t="s">
        <v>278</v>
      </c>
      <c r="H207" s="48" t="s">
        <v>334</v>
      </c>
      <c r="I207" s="48"/>
      <c r="J207" s="84"/>
      <c r="K207" s="85"/>
      <c r="L207" s="47" t="s">
        <v>294</v>
      </c>
      <c r="M207" s="3">
        <f>4.275-0.24+2.465+1.58-0.24+1.58+2.635</f>
        <v>12.055</v>
      </c>
      <c r="N207" s="3">
        <f>4.13-3.55</f>
        <v>0.58000000000000007</v>
      </c>
      <c r="O207" s="22">
        <v>0.24</v>
      </c>
      <c r="P207" s="23">
        <v>1</v>
      </c>
      <c r="Q207" s="3"/>
      <c r="R207" s="3"/>
      <c r="S207" s="3"/>
      <c r="T207" s="3"/>
      <c r="U207" s="3"/>
      <c r="V207" s="23"/>
      <c r="W207" s="3"/>
      <c r="X207" s="3"/>
      <c r="Y207" s="17"/>
      <c r="Z207" s="17"/>
      <c r="AA207" s="3">
        <f>(0.24-0.18)*0.58*8</f>
        <v>0.27839999999999998</v>
      </c>
      <c r="AB207" s="3"/>
      <c r="AC207" s="3">
        <f t="shared" ref="AC207:AC208" si="336">M207*N207*2</f>
        <v>13.983800000000002</v>
      </c>
      <c r="AD207" s="3"/>
      <c r="AE207" s="3"/>
      <c r="AF207" s="3"/>
      <c r="AG207" s="3"/>
      <c r="AH207" s="3"/>
      <c r="AI207" s="3"/>
      <c r="AJ207" s="3"/>
      <c r="AK207" s="12">
        <f t="shared" si="115"/>
        <v>6.9919000000000011</v>
      </c>
      <c r="AL207" s="12">
        <f t="shared" si="116"/>
        <v>6.9919000000000011</v>
      </c>
      <c r="AM207" s="12">
        <f t="shared" si="117"/>
        <v>1.6780560000000002</v>
      </c>
      <c r="AN207" s="12">
        <f t="shared" si="118"/>
        <v>1.6780560000000002</v>
      </c>
      <c r="AO207" s="12" t="str">
        <f t="shared" si="119"/>
        <v/>
      </c>
      <c r="AP207" s="12">
        <f t="shared" si="120"/>
        <v>12.055</v>
      </c>
      <c r="AQ207" s="12">
        <f t="shared" si="121"/>
        <v>0.27839999999999998</v>
      </c>
      <c r="AR207" s="12">
        <f t="shared" si="122"/>
        <v>13.983800000000002</v>
      </c>
      <c r="AS207" s="12" t="str">
        <f t="shared" si="164"/>
        <v/>
      </c>
      <c r="AT207" s="12" t="str">
        <f t="shared" si="165"/>
        <v/>
      </c>
      <c r="AU207" s="12" t="str">
        <f t="shared" si="166"/>
        <v/>
      </c>
      <c r="AV207" s="17"/>
      <c r="AX207" s="4"/>
    </row>
    <row r="208" spans="1:50" x14ac:dyDescent="0.25">
      <c r="A208" s="43" t="s">
        <v>276</v>
      </c>
      <c r="B208" s="52"/>
      <c r="C208" s="44"/>
      <c r="D208" s="43"/>
      <c r="E208" s="52"/>
      <c r="F208" s="46"/>
      <c r="G208" s="76"/>
      <c r="H208" s="48" t="s">
        <v>334</v>
      </c>
      <c r="I208" s="48"/>
      <c r="J208" s="84"/>
      <c r="K208" s="85"/>
      <c r="L208" s="47" t="s">
        <v>295</v>
      </c>
      <c r="M208" s="3">
        <f>0.6+2.62*3</f>
        <v>8.4600000000000009</v>
      </c>
      <c r="N208" s="3">
        <v>0.57999999999999996</v>
      </c>
      <c r="O208" s="22">
        <v>0.18</v>
      </c>
      <c r="P208" s="23">
        <v>1</v>
      </c>
      <c r="Q208" s="3"/>
      <c r="R208" s="3"/>
      <c r="S208" s="3"/>
      <c r="T208" s="3"/>
      <c r="U208" s="3"/>
      <c r="V208" s="23"/>
      <c r="W208" s="3"/>
      <c r="X208" s="3"/>
      <c r="Y208" s="17"/>
      <c r="Z208" s="17"/>
      <c r="AA208" s="3"/>
      <c r="AB208" s="3"/>
      <c r="AC208" s="3">
        <f t="shared" si="336"/>
        <v>9.813600000000001</v>
      </c>
      <c r="AD208" s="3"/>
      <c r="AE208" s="3"/>
      <c r="AF208" s="3"/>
      <c r="AG208" s="3"/>
      <c r="AH208" s="3"/>
      <c r="AI208" s="3"/>
      <c r="AJ208" s="3"/>
      <c r="AK208" s="12">
        <f t="shared" si="115"/>
        <v>4.9068000000000005</v>
      </c>
      <c r="AL208" s="12">
        <f t="shared" si="116"/>
        <v>4.9068000000000005</v>
      </c>
      <c r="AM208" s="12">
        <f t="shared" si="117"/>
        <v>0.88322400000000001</v>
      </c>
      <c r="AN208" s="12">
        <f t="shared" si="118"/>
        <v>0.88322400000000001</v>
      </c>
      <c r="AO208" s="12" t="str">
        <f t="shared" si="119"/>
        <v/>
      </c>
      <c r="AP208" s="12">
        <f t="shared" si="120"/>
        <v>8.4600000000000009</v>
      </c>
      <c r="AQ208" s="12" t="str">
        <f t="shared" si="121"/>
        <v/>
      </c>
      <c r="AR208" s="12">
        <f t="shared" si="122"/>
        <v>9.813600000000001</v>
      </c>
      <c r="AS208" s="12" t="str">
        <f t="shared" si="164"/>
        <v/>
      </c>
      <c r="AT208" s="12" t="str">
        <f t="shared" si="165"/>
        <v/>
      </c>
      <c r="AU208" s="12" t="str">
        <f t="shared" si="166"/>
        <v/>
      </c>
      <c r="AV208" s="17"/>
      <c r="AX208" s="4"/>
    </row>
    <row r="209" spans="1:50" x14ac:dyDescent="0.25">
      <c r="A209" s="43" t="s">
        <v>276</v>
      </c>
      <c r="B209" s="52"/>
      <c r="C209" s="44"/>
      <c r="D209" s="43"/>
      <c r="E209" s="52"/>
      <c r="F209" s="46"/>
      <c r="G209" s="76" t="s">
        <v>279</v>
      </c>
      <c r="H209" s="48" t="s">
        <v>334</v>
      </c>
      <c r="I209" s="48"/>
      <c r="J209" s="84"/>
      <c r="K209" s="85"/>
      <c r="L209" s="47" t="s">
        <v>294</v>
      </c>
      <c r="M209" s="3">
        <f>1.19+2.13*2+2.58+1.23+1.49</f>
        <v>10.75</v>
      </c>
      <c r="N209" s="3">
        <f>4.13-3.55</f>
        <v>0.58000000000000007</v>
      </c>
      <c r="O209" s="22">
        <v>0.24</v>
      </c>
      <c r="P209" s="23">
        <v>1</v>
      </c>
      <c r="Q209" s="3"/>
      <c r="R209" s="3"/>
      <c r="S209" s="3"/>
      <c r="T209" s="3"/>
      <c r="U209" s="3"/>
      <c r="V209" s="23"/>
      <c r="W209" s="3"/>
      <c r="X209" s="3"/>
      <c r="Y209" s="17"/>
      <c r="Z209" s="17"/>
      <c r="AA209" s="3">
        <f>(0.24-0.18)*0.58*10</f>
        <v>0.34799999999999998</v>
      </c>
      <c r="AB209" s="3"/>
      <c r="AC209" s="3">
        <f t="shared" ref="AC209:AC211" si="337">M209*N209*2</f>
        <v>12.470000000000002</v>
      </c>
      <c r="AD209" s="3"/>
      <c r="AE209" s="3"/>
      <c r="AF209" s="3"/>
      <c r="AG209" s="3"/>
      <c r="AH209" s="3"/>
      <c r="AI209" s="3"/>
      <c r="AJ209" s="3"/>
      <c r="AK209" s="12">
        <f t="shared" si="115"/>
        <v>6.2350000000000012</v>
      </c>
      <c r="AL209" s="12">
        <f t="shared" si="116"/>
        <v>6.2350000000000012</v>
      </c>
      <c r="AM209" s="12">
        <f t="shared" si="117"/>
        <v>1.4964000000000002</v>
      </c>
      <c r="AN209" s="12">
        <f t="shared" si="118"/>
        <v>1.4964000000000002</v>
      </c>
      <c r="AO209" s="12" t="str">
        <f t="shared" si="119"/>
        <v/>
      </c>
      <c r="AP209" s="12">
        <f t="shared" si="120"/>
        <v>10.75</v>
      </c>
      <c r="AQ209" s="12">
        <f t="shared" si="121"/>
        <v>0.34799999999999998</v>
      </c>
      <c r="AR209" s="12">
        <f t="shared" si="122"/>
        <v>12.470000000000002</v>
      </c>
      <c r="AS209" s="12" t="str">
        <f t="shared" si="164"/>
        <v/>
      </c>
      <c r="AT209" s="12" t="str">
        <f t="shared" si="165"/>
        <v/>
      </c>
      <c r="AU209" s="12" t="str">
        <f t="shared" si="166"/>
        <v/>
      </c>
      <c r="AV209" s="17"/>
      <c r="AX209" s="4"/>
    </row>
    <row r="210" spans="1:50" x14ac:dyDescent="0.25">
      <c r="A210" s="43" t="s">
        <v>276</v>
      </c>
      <c r="B210" s="52"/>
      <c r="C210" s="44"/>
      <c r="D210" s="43"/>
      <c r="E210" s="52"/>
      <c r="F210" s="46"/>
      <c r="G210" s="76"/>
      <c r="H210" s="48" t="s">
        <v>334</v>
      </c>
      <c r="I210" s="48"/>
      <c r="J210" s="84"/>
      <c r="K210" s="85"/>
      <c r="L210" s="47" t="s">
        <v>295</v>
      </c>
      <c r="M210" s="3">
        <f>2.12*4+0.62</f>
        <v>9.1</v>
      </c>
      <c r="N210" s="3">
        <v>0.57999999999999996</v>
      </c>
      <c r="O210" s="22">
        <v>0.18</v>
      </c>
      <c r="P210" s="23">
        <v>1</v>
      </c>
      <c r="Q210" s="3"/>
      <c r="R210" s="3"/>
      <c r="S210" s="3"/>
      <c r="T210" s="3"/>
      <c r="U210" s="3"/>
      <c r="V210" s="23"/>
      <c r="W210" s="3"/>
      <c r="X210" s="3"/>
      <c r="Y210" s="17"/>
      <c r="Z210" s="17"/>
      <c r="AA210" s="3"/>
      <c r="AB210" s="3"/>
      <c r="AC210" s="3">
        <f t="shared" si="337"/>
        <v>10.555999999999999</v>
      </c>
      <c r="AD210" s="3"/>
      <c r="AE210" s="3"/>
      <c r="AF210" s="3"/>
      <c r="AG210" s="3"/>
      <c r="AH210" s="3"/>
      <c r="AI210" s="3"/>
      <c r="AJ210" s="3"/>
      <c r="AK210" s="12">
        <f t="shared" ref="AK210:AK235" si="338">IF(((M210*N210)-Q210-R210-S210+T210+U210)=0,"",((M210*N210)-Q210-R210-S210+T210+U210))</f>
        <v>5.2779999999999996</v>
      </c>
      <c r="AL210" s="12">
        <f t="shared" ref="AL210:AL235" si="339">IF(PRODUCT(P210,AK210)=0,"",P210*AK210)</f>
        <v>5.2779999999999996</v>
      </c>
      <c r="AM210" s="12">
        <f t="shared" ref="AM210:AM235" si="340">IF(PRODUCT(AK210,O210)=0,"",AK210*O210)</f>
        <v>0.95003999999999988</v>
      </c>
      <c r="AN210" s="12">
        <f t="shared" ref="AN210:AN235" si="341">IF(PRODUCT(AM210,P210)=0,"",AM210*P210)</f>
        <v>0.95003999999999988</v>
      </c>
      <c r="AO210" s="12" t="str">
        <f t="shared" ref="AO210:AO235" si="342">IF(N210*V210-W210+X210=0,"",N210*V210-W210+X210)</f>
        <v/>
      </c>
      <c r="AP210" s="12">
        <f t="shared" ref="AP210:AP235" si="343">IF(PRODUCT(M210,P210)=0,"",M210*P210)</f>
        <v>9.1</v>
      </c>
      <c r="AQ210" s="12" t="str">
        <f t="shared" ref="AQ210:AQ235" si="344">IF(AA210+AB210=0,"",AA210+AB210)</f>
        <v/>
      </c>
      <c r="AR210" s="12">
        <f t="shared" ref="AR210:AR235" si="345">IF(AC210+AD210=0,"",AC210+AD210)</f>
        <v>10.555999999999999</v>
      </c>
      <c r="AS210" s="12" t="str">
        <f t="shared" si="164"/>
        <v/>
      </c>
      <c r="AT210" s="12" t="str">
        <f t="shared" si="165"/>
        <v/>
      </c>
      <c r="AU210" s="12" t="str">
        <f t="shared" si="166"/>
        <v/>
      </c>
      <c r="AV210" s="17"/>
      <c r="AX210" s="4"/>
    </row>
    <row r="211" spans="1:50" x14ac:dyDescent="0.25">
      <c r="A211" s="43" t="s">
        <v>276</v>
      </c>
      <c r="B211" s="52"/>
      <c r="C211" s="44"/>
      <c r="D211" s="43"/>
      <c r="E211" s="52"/>
      <c r="F211" s="46"/>
      <c r="G211" s="76" t="s">
        <v>280</v>
      </c>
      <c r="H211" s="48" t="s">
        <v>334</v>
      </c>
      <c r="I211" s="48"/>
      <c r="J211" s="84"/>
      <c r="K211" s="85"/>
      <c r="L211" s="47" t="s">
        <v>330</v>
      </c>
      <c r="M211" s="3">
        <f>1.32+2+2.3+3.05+2.6</f>
        <v>11.27</v>
      </c>
      <c r="N211" s="3">
        <f>6.4-3.55</f>
        <v>2.8500000000000005</v>
      </c>
      <c r="O211" s="22">
        <v>0.2</v>
      </c>
      <c r="P211" s="23">
        <v>1</v>
      </c>
      <c r="Q211" s="3"/>
      <c r="R211" s="3">
        <f>2*2.65+3.05*2.65</f>
        <v>13.3825</v>
      </c>
      <c r="S211" s="3"/>
      <c r="T211" s="3"/>
      <c r="U211" s="3"/>
      <c r="V211" s="23"/>
      <c r="W211" s="3"/>
      <c r="X211" s="3"/>
      <c r="Y211" s="17"/>
      <c r="Z211" s="17"/>
      <c r="AA211" s="3">
        <f>(2+3.05+2.65*4)*0.2</f>
        <v>3.13</v>
      </c>
      <c r="AB211" s="3"/>
      <c r="AC211" s="3">
        <f t="shared" si="337"/>
        <v>64.239000000000004</v>
      </c>
      <c r="AD211" s="3">
        <f>-R211*2</f>
        <v>-26.765000000000001</v>
      </c>
      <c r="AE211" s="3"/>
      <c r="AF211" s="3"/>
      <c r="AG211" s="3"/>
      <c r="AH211" s="3"/>
      <c r="AI211" s="3"/>
      <c r="AJ211" s="3"/>
      <c r="AK211" s="12">
        <f t="shared" si="338"/>
        <v>18.737000000000002</v>
      </c>
      <c r="AL211" s="12">
        <f t="shared" si="339"/>
        <v>18.737000000000002</v>
      </c>
      <c r="AM211" s="12">
        <f t="shared" si="340"/>
        <v>3.7474000000000007</v>
      </c>
      <c r="AN211" s="12">
        <f t="shared" si="341"/>
        <v>3.7474000000000007</v>
      </c>
      <c r="AO211" s="12" t="str">
        <f t="shared" si="342"/>
        <v/>
      </c>
      <c r="AP211" s="12">
        <f t="shared" si="343"/>
        <v>11.27</v>
      </c>
      <c r="AQ211" s="12">
        <f t="shared" si="344"/>
        <v>3.13</v>
      </c>
      <c r="AR211" s="12">
        <f t="shared" si="345"/>
        <v>37.474000000000004</v>
      </c>
      <c r="AS211" s="12" t="str">
        <f t="shared" si="164"/>
        <v/>
      </c>
      <c r="AT211" s="12" t="str">
        <f t="shared" si="165"/>
        <v/>
      </c>
      <c r="AU211" s="12" t="str">
        <f t="shared" si="166"/>
        <v/>
      </c>
      <c r="AV211" s="17"/>
      <c r="AX211" s="4"/>
    </row>
    <row r="212" spans="1:50" x14ac:dyDescent="0.25">
      <c r="A212" s="43" t="s">
        <v>276</v>
      </c>
      <c r="B212" s="52"/>
      <c r="C212" s="44"/>
      <c r="D212" s="43"/>
      <c r="E212" s="52"/>
      <c r="F212" s="46"/>
      <c r="G212" s="76" t="s">
        <v>281</v>
      </c>
      <c r="H212" s="48" t="s">
        <v>334</v>
      </c>
      <c r="I212" s="48"/>
      <c r="J212" s="84"/>
      <c r="K212" s="85"/>
      <c r="L212" s="47"/>
      <c r="M212" s="3">
        <f>0.2+0.3+1.9+3.43+0.77+0.3</f>
        <v>6.8999999999999995</v>
      </c>
      <c r="N212" s="3">
        <f>6.45-3.55</f>
        <v>2.9000000000000004</v>
      </c>
      <c r="O212" s="22">
        <v>0.2</v>
      </c>
      <c r="P212" s="23">
        <v>1</v>
      </c>
      <c r="Q212" s="3"/>
      <c r="R212" s="3">
        <f>1.9*2.65+0.77*2.65</f>
        <v>7.075499999999999</v>
      </c>
      <c r="S212" s="3"/>
      <c r="T212" s="3"/>
      <c r="U212" s="3"/>
      <c r="V212" s="23"/>
      <c r="W212" s="3"/>
      <c r="X212" s="3"/>
      <c r="Y212" s="17"/>
      <c r="Z212" s="17"/>
      <c r="AA212" s="3">
        <f>(1.9+0.77+2.65*4)*0.2</f>
        <v>2.6539999999999999</v>
      </c>
      <c r="AB212" s="3"/>
      <c r="AC212" s="3">
        <f t="shared" ref="AC212" si="346">M212*N212*2</f>
        <v>40.020000000000003</v>
      </c>
      <c r="AD212" s="3">
        <f>-R212*2</f>
        <v>-14.150999999999998</v>
      </c>
      <c r="AE212" s="3"/>
      <c r="AF212" s="3"/>
      <c r="AG212" s="3"/>
      <c r="AH212" s="3"/>
      <c r="AI212" s="3"/>
      <c r="AJ212" s="3"/>
      <c r="AK212" s="12">
        <f t="shared" si="338"/>
        <v>12.934500000000003</v>
      </c>
      <c r="AL212" s="12">
        <f t="shared" si="339"/>
        <v>12.934500000000003</v>
      </c>
      <c r="AM212" s="12">
        <f t="shared" si="340"/>
        <v>2.5869000000000009</v>
      </c>
      <c r="AN212" s="12">
        <f t="shared" si="341"/>
        <v>2.5869000000000009</v>
      </c>
      <c r="AO212" s="12" t="str">
        <f t="shared" si="342"/>
        <v/>
      </c>
      <c r="AP212" s="12">
        <f t="shared" si="343"/>
        <v>6.8999999999999995</v>
      </c>
      <c r="AQ212" s="12">
        <f t="shared" si="344"/>
        <v>2.6539999999999999</v>
      </c>
      <c r="AR212" s="12">
        <f t="shared" si="345"/>
        <v>25.869000000000007</v>
      </c>
      <c r="AS212" s="12" t="str">
        <f t="shared" si="164"/>
        <v/>
      </c>
      <c r="AT212" s="12" t="str">
        <f t="shared" si="165"/>
        <v/>
      </c>
      <c r="AU212" s="12" t="str">
        <f t="shared" si="166"/>
        <v/>
      </c>
      <c r="AV212" s="17"/>
      <c r="AX212" s="4"/>
    </row>
    <row r="213" spans="1:50" x14ac:dyDescent="0.25">
      <c r="A213" s="43" t="s">
        <v>276</v>
      </c>
      <c r="B213" s="52"/>
      <c r="C213" s="44"/>
      <c r="D213" s="43"/>
      <c r="E213" s="52"/>
      <c r="F213" s="46"/>
      <c r="G213" s="76" t="s">
        <v>282</v>
      </c>
      <c r="H213" s="48" t="s">
        <v>334</v>
      </c>
      <c r="I213" s="48"/>
      <c r="J213" s="84"/>
      <c r="K213" s="85"/>
      <c r="L213" s="47"/>
      <c r="M213" s="3">
        <f>0.2+3.4+3+0.3</f>
        <v>6.8999999999999995</v>
      </c>
      <c r="N213" s="3">
        <f t="shared" ref="N213:N214" si="347">6.45-3.55</f>
        <v>2.9000000000000004</v>
      </c>
      <c r="O213" s="22">
        <v>0.2</v>
      </c>
      <c r="P213" s="23">
        <v>1</v>
      </c>
      <c r="Q213" s="3"/>
      <c r="R213" s="3">
        <f>3*2.65</f>
        <v>7.9499999999999993</v>
      </c>
      <c r="S213" s="3"/>
      <c r="T213" s="3"/>
      <c r="U213" s="3"/>
      <c r="V213" s="23"/>
      <c r="W213" s="3"/>
      <c r="X213" s="3"/>
      <c r="Y213" s="17"/>
      <c r="Z213" s="17"/>
      <c r="AA213" s="3">
        <f>(3+2.65*2)*0.2</f>
        <v>1.6600000000000001</v>
      </c>
      <c r="AB213" s="3"/>
      <c r="AC213" s="3">
        <f t="shared" ref="AC213" si="348">M213*N213*2</f>
        <v>40.020000000000003</v>
      </c>
      <c r="AD213" s="3">
        <f>-R213*2</f>
        <v>-15.899999999999999</v>
      </c>
      <c r="AE213" s="3"/>
      <c r="AF213" s="3"/>
      <c r="AG213" s="3"/>
      <c r="AH213" s="3"/>
      <c r="AI213" s="3"/>
      <c r="AJ213" s="3"/>
      <c r="AK213" s="12">
        <f t="shared" si="338"/>
        <v>12.060000000000002</v>
      </c>
      <c r="AL213" s="12">
        <f t="shared" si="339"/>
        <v>12.060000000000002</v>
      </c>
      <c r="AM213" s="12">
        <f t="shared" si="340"/>
        <v>2.4120000000000008</v>
      </c>
      <c r="AN213" s="12">
        <f t="shared" si="341"/>
        <v>2.4120000000000008</v>
      </c>
      <c r="AO213" s="12" t="str">
        <f t="shared" si="342"/>
        <v/>
      </c>
      <c r="AP213" s="12">
        <f t="shared" si="343"/>
        <v>6.8999999999999995</v>
      </c>
      <c r="AQ213" s="12">
        <f t="shared" si="344"/>
        <v>1.6600000000000001</v>
      </c>
      <c r="AR213" s="12">
        <f t="shared" si="345"/>
        <v>24.120000000000005</v>
      </c>
      <c r="AS213" s="12" t="str">
        <f t="shared" si="164"/>
        <v/>
      </c>
      <c r="AT213" s="12" t="str">
        <f t="shared" si="165"/>
        <v/>
      </c>
      <c r="AU213" s="12" t="str">
        <f t="shared" si="166"/>
        <v/>
      </c>
      <c r="AV213" s="17"/>
      <c r="AX213" s="4"/>
    </row>
    <row r="214" spans="1:50" x14ac:dyDescent="0.25">
      <c r="A214" s="43" t="s">
        <v>276</v>
      </c>
      <c r="B214" s="52"/>
      <c r="C214" s="44"/>
      <c r="D214" s="43"/>
      <c r="E214" s="52"/>
      <c r="F214" s="46"/>
      <c r="G214" s="76" t="s">
        <v>283</v>
      </c>
      <c r="H214" s="48" t="s">
        <v>334</v>
      </c>
      <c r="I214" s="48"/>
      <c r="J214" s="84"/>
      <c r="K214" s="85"/>
      <c r="L214" s="47"/>
      <c r="M214" s="3">
        <f>0.2+2.55+3.05+2.25+2+1.45+0.2+1.55+1.25+2+0.95+1.05+0.2</f>
        <v>18.7</v>
      </c>
      <c r="N214" s="3">
        <f t="shared" si="347"/>
        <v>2.9000000000000004</v>
      </c>
      <c r="O214" s="22">
        <v>0.2</v>
      </c>
      <c r="P214" s="23">
        <v>1</v>
      </c>
      <c r="Q214" s="3"/>
      <c r="R214" s="3">
        <f>3.05*2.65+2*2.65+1.25*2.2+0.95*2.2</f>
        <v>18.2225</v>
      </c>
      <c r="S214" s="3"/>
      <c r="T214" s="3"/>
      <c r="U214" s="3"/>
      <c r="V214" s="23"/>
      <c r="W214" s="3"/>
      <c r="X214" s="3"/>
      <c r="Y214" s="17"/>
      <c r="Z214" s="17"/>
      <c r="AA214" s="3">
        <f>(3.05+2+1.25+0.95+2.65*4+2.2*4)*0.2</f>
        <v>5.330000000000001</v>
      </c>
      <c r="AB214" s="3"/>
      <c r="AC214" s="3">
        <f>M214*N214*2-0.2*2.9</f>
        <v>107.88000000000001</v>
      </c>
      <c r="AD214" s="3">
        <f>-R214*2</f>
        <v>-36.445</v>
      </c>
      <c r="AE214" s="3"/>
      <c r="AF214" s="3"/>
      <c r="AG214" s="3"/>
      <c r="AH214" s="3"/>
      <c r="AI214" s="3"/>
      <c r="AJ214" s="3"/>
      <c r="AK214" s="12">
        <f t="shared" si="338"/>
        <v>36.007500000000007</v>
      </c>
      <c r="AL214" s="12">
        <f t="shared" si="339"/>
        <v>36.007500000000007</v>
      </c>
      <c r="AM214" s="12">
        <f t="shared" si="340"/>
        <v>7.201500000000002</v>
      </c>
      <c r="AN214" s="12">
        <f t="shared" si="341"/>
        <v>7.201500000000002</v>
      </c>
      <c r="AO214" s="12" t="str">
        <f t="shared" si="342"/>
        <v/>
      </c>
      <c r="AP214" s="12">
        <f t="shared" si="343"/>
        <v>18.7</v>
      </c>
      <c r="AQ214" s="12">
        <f t="shared" si="344"/>
        <v>5.330000000000001</v>
      </c>
      <c r="AR214" s="12">
        <f t="shared" si="345"/>
        <v>71.435000000000002</v>
      </c>
      <c r="AS214" s="12" t="str">
        <f t="shared" si="164"/>
        <v/>
      </c>
      <c r="AT214" s="12" t="str">
        <f t="shared" si="165"/>
        <v/>
      </c>
      <c r="AU214" s="12" t="str">
        <f t="shared" si="166"/>
        <v/>
      </c>
      <c r="AV214" s="17"/>
      <c r="AX214" s="4"/>
    </row>
    <row r="215" spans="1:50" x14ac:dyDescent="0.25">
      <c r="A215" s="43" t="s">
        <v>276</v>
      </c>
      <c r="B215" s="52"/>
      <c r="C215" s="44"/>
      <c r="D215" s="43"/>
      <c r="E215" s="52"/>
      <c r="F215" s="46"/>
      <c r="G215" s="76" t="s">
        <v>284</v>
      </c>
      <c r="H215" s="48" t="s">
        <v>334</v>
      </c>
      <c r="I215" s="48"/>
      <c r="J215" s="84"/>
      <c r="K215" s="85"/>
      <c r="L215" s="47"/>
      <c r="M215" s="3">
        <v>5.79</v>
      </c>
      <c r="N215" s="3">
        <f>6.45-3.55</f>
        <v>2.9000000000000004</v>
      </c>
      <c r="O215" s="22">
        <v>0.24</v>
      </c>
      <c r="P215" s="23">
        <v>1</v>
      </c>
      <c r="Q215" s="3"/>
      <c r="R215" s="3"/>
      <c r="S215" s="3"/>
      <c r="T215" s="3"/>
      <c r="U215" s="3"/>
      <c r="V215" s="23"/>
      <c r="W215" s="3"/>
      <c r="X215" s="3"/>
      <c r="Y215" s="17"/>
      <c r="Z215" s="17"/>
      <c r="AA215" s="3">
        <f>0.24*2.9*2</f>
        <v>1.3919999999999999</v>
      </c>
      <c r="AB215" s="3"/>
      <c r="AC215" s="3">
        <f t="shared" ref="AC215:AC221" si="349">M215*N215*2</f>
        <v>33.582000000000008</v>
      </c>
      <c r="AD215" s="3"/>
      <c r="AE215" s="3"/>
      <c r="AF215" s="3"/>
      <c r="AG215" s="3"/>
      <c r="AH215" s="3"/>
      <c r="AI215" s="3"/>
      <c r="AJ215" s="3"/>
      <c r="AK215" s="12">
        <f t="shared" si="338"/>
        <v>16.791000000000004</v>
      </c>
      <c r="AL215" s="12">
        <f t="shared" si="339"/>
        <v>16.791000000000004</v>
      </c>
      <c r="AM215" s="12">
        <f t="shared" si="340"/>
        <v>4.029840000000001</v>
      </c>
      <c r="AN215" s="12">
        <f t="shared" si="341"/>
        <v>4.029840000000001</v>
      </c>
      <c r="AO215" s="12" t="str">
        <f t="shared" si="342"/>
        <v/>
      </c>
      <c r="AP215" s="12">
        <f t="shared" si="343"/>
        <v>5.79</v>
      </c>
      <c r="AQ215" s="12">
        <f t="shared" si="344"/>
        <v>1.3919999999999999</v>
      </c>
      <c r="AR215" s="12">
        <f t="shared" si="345"/>
        <v>33.582000000000008</v>
      </c>
      <c r="AS215" s="12" t="str">
        <f t="shared" si="164"/>
        <v/>
      </c>
      <c r="AT215" s="12" t="str">
        <f t="shared" si="165"/>
        <v/>
      </c>
      <c r="AU215" s="12" t="str">
        <f t="shared" si="166"/>
        <v/>
      </c>
      <c r="AV215" s="17"/>
      <c r="AX215" s="4"/>
    </row>
    <row r="216" spans="1:50" x14ac:dyDescent="0.25">
      <c r="A216" s="43" t="s">
        <v>276</v>
      </c>
      <c r="B216" s="52"/>
      <c r="C216" s="44"/>
      <c r="D216" s="43"/>
      <c r="E216" s="52"/>
      <c r="F216" s="46"/>
      <c r="G216" s="76" t="s">
        <v>285</v>
      </c>
      <c r="H216" s="48" t="s">
        <v>334</v>
      </c>
      <c r="I216" s="48"/>
      <c r="J216" s="84"/>
      <c r="K216" s="85"/>
      <c r="L216" s="47"/>
      <c r="M216" s="3">
        <f>4.17+1.15+0.7</f>
        <v>6.0200000000000005</v>
      </c>
      <c r="N216" s="3">
        <f>6.45-3.55</f>
        <v>2.9000000000000004</v>
      </c>
      <c r="O216" s="22">
        <v>0.24</v>
      </c>
      <c r="P216" s="23">
        <v>1</v>
      </c>
      <c r="Q216" s="3"/>
      <c r="R216" s="3">
        <f>1.15*2.2</f>
        <v>2.5299999999999998</v>
      </c>
      <c r="S216" s="3"/>
      <c r="T216" s="3"/>
      <c r="U216" s="3"/>
      <c r="V216" s="23"/>
      <c r="W216" s="3"/>
      <c r="X216" s="3"/>
      <c r="Y216" s="17"/>
      <c r="Z216" s="17"/>
      <c r="AA216" s="3">
        <f>(1.15+2.2*2)*0.24</f>
        <v>1.3320000000000001</v>
      </c>
      <c r="AB216" s="3"/>
      <c r="AC216" s="3">
        <f t="shared" si="349"/>
        <v>34.916000000000004</v>
      </c>
      <c r="AD216" s="3">
        <f>-R216*2</f>
        <v>-5.0599999999999996</v>
      </c>
      <c r="AE216" s="3"/>
      <c r="AF216" s="3"/>
      <c r="AG216" s="3"/>
      <c r="AH216" s="3"/>
      <c r="AI216" s="3"/>
      <c r="AJ216" s="3"/>
      <c r="AK216" s="12">
        <f t="shared" si="338"/>
        <v>14.928000000000003</v>
      </c>
      <c r="AL216" s="12">
        <f t="shared" si="339"/>
        <v>14.928000000000003</v>
      </c>
      <c r="AM216" s="12">
        <f t="shared" si="340"/>
        <v>3.5827200000000006</v>
      </c>
      <c r="AN216" s="12">
        <f t="shared" si="341"/>
        <v>3.5827200000000006</v>
      </c>
      <c r="AO216" s="12" t="str">
        <f t="shared" si="342"/>
        <v/>
      </c>
      <c r="AP216" s="12">
        <f t="shared" si="343"/>
        <v>6.0200000000000005</v>
      </c>
      <c r="AQ216" s="12">
        <f t="shared" si="344"/>
        <v>1.3320000000000001</v>
      </c>
      <c r="AR216" s="12">
        <f t="shared" si="345"/>
        <v>29.856000000000005</v>
      </c>
      <c r="AS216" s="12" t="str">
        <f t="shared" si="164"/>
        <v/>
      </c>
      <c r="AT216" s="12" t="str">
        <f t="shared" si="165"/>
        <v/>
      </c>
      <c r="AU216" s="12" t="str">
        <f t="shared" si="166"/>
        <v/>
      </c>
      <c r="AV216" s="17"/>
      <c r="AX216" s="4"/>
    </row>
    <row r="217" spans="1:50" x14ac:dyDescent="0.25">
      <c r="A217" s="43" t="s">
        <v>276</v>
      </c>
      <c r="B217" s="52"/>
      <c r="C217" s="44"/>
      <c r="D217" s="43"/>
      <c r="E217" s="52"/>
      <c r="F217" s="46"/>
      <c r="G217" s="76" t="s">
        <v>286</v>
      </c>
      <c r="H217" s="48" t="s">
        <v>334</v>
      </c>
      <c r="I217" s="48"/>
      <c r="J217" s="84"/>
      <c r="K217" s="85"/>
      <c r="L217" s="47"/>
      <c r="M217" s="3">
        <f>1.45+1.05+0.95+1.17+1.47+0.76+2.85</f>
        <v>9.6999999999999993</v>
      </c>
      <c r="N217" s="3">
        <f>6.45-3.55</f>
        <v>2.9000000000000004</v>
      </c>
      <c r="O217" s="22">
        <v>0.2</v>
      </c>
      <c r="P217" s="23">
        <v>1</v>
      </c>
      <c r="Q217" s="3"/>
      <c r="R217" s="3">
        <f>1.45*2.2+0.95*2.2+1.47*2.2+2.85*2.2</f>
        <v>14.783999999999999</v>
      </c>
      <c r="S217" s="3"/>
      <c r="T217" s="3"/>
      <c r="U217" s="3"/>
      <c r="V217" s="23"/>
      <c r="W217" s="3"/>
      <c r="X217" s="3"/>
      <c r="Y217" s="17"/>
      <c r="Z217" s="17"/>
      <c r="AA217" s="3">
        <f>(1.45+0.95+1.47+2.85+2.2*8)*0.2</f>
        <v>4.8640000000000008</v>
      </c>
      <c r="AB217" s="3"/>
      <c r="AC217" s="3">
        <f t="shared" si="349"/>
        <v>56.260000000000005</v>
      </c>
      <c r="AD217" s="3">
        <f>-R217*2</f>
        <v>-29.567999999999998</v>
      </c>
      <c r="AE217" s="3"/>
      <c r="AF217" s="3"/>
      <c r="AG217" s="3"/>
      <c r="AH217" s="3"/>
      <c r="AI217" s="3"/>
      <c r="AJ217" s="3"/>
      <c r="AK217" s="12">
        <f t="shared" si="338"/>
        <v>13.346000000000004</v>
      </c>
      <c r="AL217" s="12">
        <f t="shared" si="339"/>
        <v>13.346000000000004</v>
      </c>
      <c r="AM217" s="12">
        <f t="shared" si="340"/>
        <v>2.6692000000000009</v>
      </c>
      <c r="AN217" s="12">
        <f t="shared" si="341"/>
        <v>2.6692000000000009</v>
      </c>
      <c r="AO217" s="12" t="str">
        <f t="shared" si="342"/>
        <v/>
      </c>
      <c r="AP217" s="12">
        <f t="shared" si="343"/>
        <v>9.6999999999999993</v>
      </c>
      <c r="AQ217" s="12">
        <f t="shared" si="344"/>
        <v>4.8640000000000008</v>
      </c>
      <c r="AR217" s="12">
        <f t="shared" si="345"/>
        <v>26.692000000000007</v>
      </c>
      <c r="AS217" s="12" t="str">
        <f t="shared" si="164"/>
        <v/>
      </c>
      <c r="AT217" s="12" t="str">
        <f t="shared" si="165"/>
        <v/>
      </c>
      <c r="AU217" s="12" t="str">
        <f t="shared" si="166"/>
        <v/>
      </c>
      <c r="AV217" s="17"/>
      <c r="AX217" s="4"/>
    </row>
    <row r="218" spans="1:50" x14ac:dyDescent="0.25">
      <c r="A218" s="43" t="s">
        <v>276</v>
      </c>
      <c r="B218" s="52"/>
      <c r="C218" s="44"/>
      <c r="D218" s="43"/>
      <c r="E218" s="52"/>
      <c r="F218" s="46"/>
      <c r="G218" s="76" t="s">
        <v>287</v>
      </c>
      <c r="H218" s="48" t="s">
        <v>334</v>
      </c>
      <c r="I218" s="48"/>
      <c r="J218" s="84"/>
      <c r="K218" s="85"/>
      <c r="L218" s="47"/>
      <c r="M218" s="3">
        <f>0.55-0.24+1.07+2.165+3.45</f>
        <v>6.9950000000000001</v>
      </c>
      <c r="N218" s="3">
        <f>6.45-3.55</f>
        <v>2.9000000000000004</v>
      </c>
      <c r="O218" s="22">
        <v>0.2</v>
      </c>
      <c r="P218" s="23">
        <v>1</v>
      </c>
      <c r="Q218" s="3"/>
      <c r="R218" s="3">
        <f>1.07*2.65</f>
        <v>2.8355000000000001</v>
      </c>
      <c r="S218" s="3"/>
      <c r="T218" s="3"/>
      <c r="U218" s="3"/>
      <c r="V218" s="23"/>
      <c r="W218" s="3"/>
      <c r="X218" s="3"/>
      <c r="Y218" s="17"/>
      <c r="Z218" s="17"/>
      <c r="AA218" s="3">
        <f>(1.07+2.65*2)*0.2</f>
        <v>1.274</v>
      </c>
      <c r="AB218" s="3"/>
      <c r="AC218" s="3">
        <f t="shared" si="349"/>
        <v>40.571000000000005</v>
      </c>
      <c r="AD218" s="3">
        <f>-R218*2</f>
        <v>-5.6710000000000003</v>
      </c>
      <c r="AE218" s="3"/>
      <c r="AF218" s="3"/>
      <c r="AG218" s="3"/>
      <c r="AH218" s="3"/>
      <c r="AI218" s="3"/>
      <c r="AJ218" s="3"/>
      <c r="AK218" s="12">
        <f t="shared" ref="AK218" si="350">IF(((M218*N218)-Q218-R218-S218+T218+U218)=0,"",((M218*N218)-Q218-R218-S218+T218+U218))</f>
        <v>17.450000000000003</v>
      </c>
      <c r="AL218" s="12">
        <f t="shared" ref="AL218" si="351">IF(PRODUCT(P218,AK218)=0,"",P218*AK218)</f>
        <v>17.450000000000003</v>
      </c>
      <c r="AM218" s="12">
        <f t="shared" ref="AM218" si="352">IF(PRODUCT(AK218,O218)=0,"",AK218*O218)</f>
        <v>3.4900000000000007</v>
      </c>
      <c r="AN218" s="12">
        <f t="shared" ref="AN218" si="353">IF(PRODUCT(AM218,P218)=0,"",AM218*P218)</f>
        <v>3.4900000000000007</v>
      </c>
      <c r="AO218" s="12" t="str">
        <f t="shared" ref="AO218" si="354">IF(N218*V218-W218+X218=0,"",N218*V218-W218+X218)</f>
        <v/>
      </c>
      <c r="AP218" s="12">
        <f t="shared" ref="AP218" si="355">IF(PRODUCT(M218,P218)=0,"",M218*P218)</f>
        <v>6.9950000000000001</v>
      </c>
      <c r="AQ218" s="12">
        <f t="shared" ref="AQ218" si="356">IF(AA218+AB218=0,"",AA218+AB218)</f>
        <v>1.274</v>
      </c>
      <c r="AR218" s="12">
        <f t="shared" ref="AR218" si="357">IF(AC218+AD218=0,"",AC218+AD218)</f>
        <v>34.900000000000006</v>
      </c>
      <c r="AS218" s="12" t="str">
        <f t="shared" si="164"/>
        <v/>
      </c>
      <c r="AT218" s="12" t="str">
        <f t="shared" si="165"/>
        <v/>
      </c>
      <c r="AU218" s="12" t="str">
        <f t="shared" si="166"/>
        <v/>
      </c>
      <c r="AV218" s="17"/>
      <c r="AX218" s="4"/>
    </row>
    <row r="219" spans="1:50" x14ac:dyDescent="0.25">
      <c r="A219" s="43" t="s">
        <v>276</v>
      </c>
      <c r="B219" s="52"/>
      <c r="C219" s="44"/>
      <c r="D219" s="43"/>
      <c r="E219" s="52"/>
      <c r="F219" s="46"/>
      <c r="G219" s="76" t="s">
        <v>288</v>
      </c>
      <c r="H219" s="48" t="s">
        <v>334</v>
      </c>
      <c r="I219" s="48"/>
      <c r="J219" s="84"/>
      <c r="K219" s="85"/>
      <c r="L219" s="47"/>
      <c r="M219" s="3">
        <f>2.64</f>
        <v>2.64</v>
      </c>
      <c r="N219" s="3">
        <f>6.4-3.55</f>
        <v>2.8500000000000005</v>
      </c>
      <c r="O219" s="22">
        <v>0.24</v>
      </c>
      <c r="P219" s="23">
        <v>1</v>
      </c>
      <c r="Q219" s="3"/>
      <c r="R219" s="3"/>
      <c r="S219" s="3"/>
      <c r="T219" s="3"/>
      <c r="U219" s="3"/>
      <c r="V219" s="23"/>
      <c r="W219" s="3"/>
      <c r="X219" s="3"/>
      <c r="Y219" s="17"/>
      <c r="Z219" s="17"/>
      <c r="AA219" s="3">
        <f>0.24*2.85</f>
        <v>0.68399999999999994</v>
      </c>
      <c r="AB219" s="3"/>
      <c r="AC219" s="3">
        <f t="shared" si="349"/>
        <v>15.048000000000004</v>
      </c>
      <c r="AD219" s="3">
        <f>-(0.24-0.2)*2.85</f>
        <v>-0.11399999999999995</v>
      </c>
      <c r="AE219" s="3"/>
      <c r="AF219" s="3"/>
      <c r="AG219" s="3"/>
      <c r="AH219" s="3"/>
      <c r="AI219" s="3"/>
      <c r="AJ219" s="3"/>
      <c r="AK219" s="12">
        <f t="shared" si="338"/>
        <v>7.5240000000000018</v>
      </c>
      <c r="AL219" s="12">
        <f t="shared" si="339"/>
        <v>7.5240000000000018</v>
      </c>
      <c r="AM219" s="12">
        <f t="shared" si="340"/>
        <v>1.8057600000000003</v>
      </c>
      <c r="AN219" s="12">
        <f t="shared" si="341"/>
        <v>1.8057600000000003</v>
      </c>
      <c r="AO219" s="12" t="str">
        <f t="shared" si="342"/>
        <v/>
      </c>
      <c r="AP219" s="12">
        <f t="shared" si="343"/>
        <v>2.64</v>
      </c>
      <c r="AQ219" s="12">
        <f t="shared" si="344"/>
        <v>0.68399999999999994</v>
      </c>
      <c r="AR219" s="12">
        <f t="shared" si="345"/>
        <v>14.934000000000003</v>
      </c>
      <c r="AS219" s="12" t="str">
        <f t="shared" si="164"/>
        <v/>
      </c>
      <c r="AT219" s="12" t="str">
        <f t="shared" si="165"/>
        <v/>
      </c>
      <c r="AU219" s="12" t="str">
        <f t="shared" si="166"/>
        <v/>
      </c>
      <c r="AV219" s="17"/>
      <c r="AX219" s="4"/>
    </row>
    <row r="220" spans="1:50" x14ac:dyDescent="0.25">
      <c r="A220" s="43" t="s">
        <v>276</v>
      </c>
      <c r="B220" s="52"/>
      <c r="C220" s="44"/>
      <c r="D220" s="43"/>
      <c r="E220" s="52"/>
      <c r="F220" s="46"/>
      <c r="G220" s="76" t="s">
        <v>473</v>
      </c>
      <c r="H220" s="48" t="s">
        <v>334</v>
      </c>
      <c r="I220" s="48"/>
      <c r="J220" s="84"/>
      <c r="K220" s="85"/>
      <c r="L220" s="47" t="s">
        <v>442</v>
      </c>
      <c r="M220" s="3">
        <f>2.4+0.2+1.75</f>
        <v>4.3499999999999996</v>
      </c>
      <c r="N220" s="3">
        <v>0.25</v>
      </c>
      <c r="O220" s="22">
        <v>0.25</v>
      </c>
      <c r="P220" s="23">
        <v>1</v>
      </c>
      <c r="Q220" s="3"/>
      <c r="R220" s="3"/>
      <c r="S220" s="3"/>
      <c r="T220" s="3"/>
      <c r="U220" s="3"/>
      <c r="V220" s="23"/>
      <c r="W220" s="3"/>
      <c r="X220" s="3"/>
      <c r="Y220" s="17"/>
      <c r="Z220" s="17"/>
      <c r="AA220" s="3"/>
      <c r="AB220" s="3"/>
      <c r="AC220" s="3">
        <f t="shared" ref="AC220" si="358">M220*N220*2</f>
        <v>2.1749999999999998</v>
      </c>
      <c r="AD220" s="3"/>
      <c r="AE220" s="3"/>
      <c r="AF220" s="3"/>
      <c r="AG220" s="3"/>
      <c r="AH220" s="3"/>
      <c r="AI220" s="3"/>
      <c r="AJ220" s="3"/>
      <c r="AK220" s="12">
        <f t="shared" ref="AK220" si="359">IF(((M220*N220)-Q220-R220-S220+T220+U220)=0,"",((M220*N220)-Q220-R220-S220+T220+U220))</f>
        <v>1.0874999999999999</v>
      </c>
      <c r="AL220" s="12">
        <f t="shared" ref="AL220" si="360">IF(PRODUCT(P220,AK220)=0,"",P220*AK220)</f>
        <v>1.0874999999999999</v>
      </c>
      <c r="AM220" s="12">
        <f t="shared" ref="AM220" si="361">IF(PRODUCT(AK220,O220)=0,"",AK220*O220)</f>
        <v>0.27187499999999998</v>
      </c>
      <c r="AN220" s="12">
        <f t="shared" ref="AN220" si="362">IF(PRODUCT(AM220,P220)=0,"",AM220*P220)</f>
        <v>0.27187499999999998</v>
      </c>
      <c r="AO220" s="12" t="str">
        <f t="shared" ref="AO220" si="363">IF(N220*V220-W220+X220=0,"",N220*V220-W220+X220)</f>
        <v/>
      </c>
      <c r="AP220" s="12">
        <f t="shared" ref="AP220" si="364">IF(PRODUCT(M220,P220)=0,"",M220*P220)</f>
        <v>4.3499999999999996</v>
      </c>
      <c r="AQ220" s="12" t="str">
        <f t="shared" ref="AQ220" si="365">IF(AA220+AB220=0,"",AA220+AB220)</f>
        <v/>
      </c>
      <c r="AR220" s="12">
        <f t="shared" ref="AR220" si="366">IF(AC220+AD220=0,"",AC220+AD220)</f>
        <v>2.1749999999999998</v>
      </c>
      <c r="AS220" s="12" t="str">
        <f t="shared" si="164"/>
        <v/>
      </c>
      <c r="AT220" s="12" t="str">
        <f t="shared" si="165"/>
        <v/>
      </c>
      <c r="AU220" s="12" t="str">
        <f t="shared" si="166"/>
        <v/>
      </c>
      <c r="AV220" s="17"/>
      <c r="AX220" s="4"/>
    </row>
    <row r="221" spans="1:50" x14ac:dyDescent="0.25">
      <c r="A221" s="43" t="s">
        <v>276</v>
      </c>
      <c r="B221" s="52"/>
      <c r="C221" s="44"/>
      <c r="D221" s="43"/>
      <c r="E221" s="52"/>
      <c r="F221" s="46"/>
      <c r="G221" s="76" t="s">
        <v>289</v>
      </c>
      <c r="H221" s="48" t="s">
        <v>334</v>
      </c>
      <c r="I221" s="48"/>
      <c r="J221" s="84"/>
      <c r="K221" s="85"/>
      <c r="L221" s="47"/>
      <c r="M221" s="3">
        <f>1.3+2+1.85+0.24+0.2</f>
        <v>5.5900000000000007</v>
      </c>
      <c r="N221" s="3">
        <f>6.45-3.55</f>
        <v>2.9000000000000004</v>
      </c>
      <c r="O221" s="22">
        <v>0.24</v>
      </c>
      <c r="P221" s="23">
        <v>1</v>
      </c>
      <c r="Q221" s="3"/>
      <c r="R221" s="3">
        <f>2*2.7</f>
        <v>5.4</v>
      </c>
      <c r="S221" s="3"/>
      <c r="T221" s="3"/>
      <c r="U221" s="3"/>
      <c r="V221" s="23"/>
      <c r="W221" s="3"/>
      <c r="X221" s="3"/>
      <c r="Y221" s="17"/>
      <c r="Z221" s="17"/>
      <c r="AA221" s="3">
        <f>(2+2.7*2)*0.24+0.24*2.9</f>
        <v>2.472</v>
      </c>
      <c r="AB221" s="3"/>
      <c r="AC221" s="3">
        <f t="shared" si="349"/>
        <v>32.422000000000011</v>
      </c>
      <c r="AD221" s="3">
        <f>-R221*2</f>
        <v>-10.8</v>
      </c>
      <c r="AE221" s="3"/>
      <c r="AF221" s="3"/>
      <c r="AG221" s="3"/>
      <c r="AH221" s="3"/>
      <c r="AI221" s="3"/>
      <c r="AJ221" s="3"/>
      <c r="AK221" s="12">
        <f t="shared" si="338"/>
        <v>10.811000000000005</v>
      </c>
      <c r="AL221" s="12">
        <f t="shared" si="339"/>
        <v>10.811000000000005</v>
      </c>
      <c r="AM221" s="12">
        <f t="shared" si="340"/>
        <v>2.5946400000000014</v>
      </c>
      <c r="AN221" s="12">
        <f t="shared" si="341"/>
        <v>2.5946400000000014</v>
      </c>
      <c r="AO221" s="12" t="str">
        <f t="shared" si="342"/>
        <v/>
      </c>
      <c r="AP221" s="12">
        <f t="shared" si="343"/>
        <v>5.5900000000000007</v>
      </c>
      <c r="AQ221" s="12">
        <f t="shared" si="344"/>
        <v>2.472</v>
      </c>
      <c r="AR221" s="12">
        <f t="shared" si="345"/>
        <v>21.622000000000011</v>
      </c>
      <c r="AS221" s="12" t="str">
        <f t="shared" si="164"/>
        <v/>
      </c>
      <c r="AT221" s="12" t="str">
        <f t="shared" si="165"/>
        <v/>
      </c>
      <c r="AU221" s="12" t="str">
        <f t="shared" si="166"/>
        <v/>
      </c>
      <c r="AV221" s="17"/>
      <c r="AX221" s="4"/>
    </row>
    <row r="222" spans="1:50" x14ac:dyDescent="0.25">
      <c r="A222" s="43" t="s">
        <v>276</v>
      </c>
      <c r="B222" s="52"/>
      <c r="C222" s="44"/>
      <c r="D222" s="43"/>
      <c r="E222" s="52"/>
      <c r="F222" s="46"/>
      <c r="G222" s="76" t="s">
        <v>290</v>
      </c>
      <c r="H222" s="48" t="s">
        <v>334</v>
      </c>
      <c r="I222" s="48"/>
      <c r="J222" s="84"/>
      <c r="K222" s="85"/>
      <c r="L222" s="47"/>
      <c r="M222" s="3">
        <f>4.83+0.96+1</f>
        <v>6.79</v>
      </c>
      <c r="N222" s="3">
        <f>6.4-3.55</f>
        <v>2.8500000000000005</v>
      </c>
      <c r="O222" s="22">
        <v>0.24</v>
      </c>
      <c r="P222" s="23">
        <v>1</v>
      </c>
      <c r="Q222" s="3"/>
      <c r="R222" s="3">
        <f>0.96*2.65</f>
        <v>2.544</v>
      </c>
      <c r="S222" s="3"/>
      <c r="T222" s="3"/>
      <c r="U222" s="3">
        <f>0.64*0.05</f>
        <v>3.2000000000000001E-2</v>
      </c>
      <c r="V222" s="23"/>
      <c r="W222" s="3"/>
      <c r="X222" s="3"/>
      <c r="Y222" s="17"/>
      <c r="Z222" s="17"/>
      <c r="AA222" s="3">
        <f>(0.96+2.65*2)*0.24+0.24*2.85+0.24*2.9</f>
        <v>2.8823999999999996</v>
      </c>
      <c r="AB222" s="3"/>
      <c r="AC222" s="3">
        <f>M222*N222*2+0.64*0.05*2</f>
        <v>38.76700000000001</v>
      </c>
      <c r="AD222" s="3">
        <f>-R222*2</f>
        <v>-5.0880000000000001</v>
      </c>
      <c r="AE222" s="3"/>
      <c r="AF222" s="3"/>
      <c r="AG222" s="3"/>
      <c r="AH222" s="3"/>
      <c r="AI222" s="3"/>
      <c r="AJ222" s="3"/>
      <c r="AK222" s="12">
        <f t="shared" si="338"/>
        <v>16.839500000000005</v>
      </c>
      <c r="AL222" s="12">
        <f t="shared" si="339"/>
        <v>16.839500000000005</v>
      </c>
      <c r="AM222" s="12">
        <f t="shared" si="340"/>
        <v>4.0414800000000008</v>
      </c>
      <c r="AN222" s="12">
        <f t="shared" si="341"/>
        <v>4.0414800000000008</v>
      </c>
      <c r="AO222" s="12" t="str">
        <f t="shared" si="342"/>
        <v/>
      </c>
      <c r="AP222" s="12">
        <f t="shared" si="343"/>
        <v>6.79</v>
      </c>
      <c r="AQ222" s="12">
        <f t="shared" si="344"/>
        <v>2.8823999999999996</v>
      </c>
      <c r="AR222" s="12">
        <f t="shared" si="345"/>
        <v>33.679000000000009</v>
      </c>
      <c r="AS222" s="12" t="str">
        <f t="shared" si="164"/>
        <v/>
      </c>
      <c r="AT222" s="12" t="str">
        <f t="shared" si="165"/>
        <v/>
      </c>
      <c r="AU222" s="12" t="str">
        <f t="shared" si="166"/>
        <v/>
      </c>
      <c r="AV222" s="17"/>
      <c r="AX222" s="4"/>
    </row>
    <row r="223" spans="1:50" x14ac:dyDescent="0.25">
      <c r="A223" s="43" t="s">
        <v>276</v>
      </c>
      <c r="B223" s="52"/>
      <c r="C223" s="44"/>
      <c r="D223" s="43"/>
      <c r="E223" s="52"/>
      <c r="F223" s="46"/>
      <c r="G223" s="76" t="s">
        <v>291</v>
      </c>
      <c r="H223" s="48" t="s">
        <v>334</v>
      </c>
      <c r="I223" s="48"/>
      <c r="J223" s="84"/>
      <c r="K223" s="85"/>
      <c r="L223" s="47"/>
      <c r="M223" s="3">
        <f>0.76+1.74+1.25+0.9+0.97+1.4</f>
        <v>7.02</v>
      </c>
      <c r="N223" s="3">
        <f>6.4-3.55</f>
        <v>2.8500000000000005</v>
      </c>
      <c r="O223" s="22">
        <v>0.2</v>
      </c>
      <c r="P223" s="23">
        <v>1</v>
      </c>
      <c r="Q223" s="3"/>
      <c r="R223" s="3">
        <f>1.47*2.65+0.95*2.2+1.4*2.2</f>
        <v>9.0655000000000001</v>
      </c>
      <c r="S223" s="3"/>
      <c r="T223" s="3"/>
      <c r="U223" s="3"/>
      <c r="V223" s="23"/>
      <c r="W223" s="3"/>
      <c r="X223" s="3"/>
      <c r="Y223" s="17"/>
      <c r="Z223" s="17"/>
      <c r="AA223" s="3">
        <f>(1.47+0.95+1.4+2.65*2+2.2*4)*0.2</f>
        <v>3.5840000000000005</v>
      </c>
      <c r="AB223" s="3"/>
      <c r="AC223" s="3">
        <f>M223*N223*2</f>
        <v>40.014000000000003</v>
      </c>
      <c r="AD223" s="3">
        <f>-R223*2</f>
        <v>-18.131</v>
      </c>
      <c r="AE223" s="3"/>
      <c r="AF223" s="3"/>
      <c r="AG223" s="3"/>
      <c r="AH223" s="3"/>
      <c r="AI223" s="3"/>
      <c r="AJ223" s="3"/>
      <c r="AK223" s="12">
        <f t="shared" si="338"/>
        <v>10.941500000000001</v>
      </c>
      <c r="AL223" s="12">
        <f t="shared" si="339"/>
        <v>10.941500000000001</v>
      </c>
      <c r="AM223" s="12">
        <f t="shared" si="340"/>
        <v>2.1883000000000004</v>
      </c>
      <c r="AN223" s="12">
        <f t="shared" si="341"/>
        <v>2.1883000000000004</v>
      </c>
      <c r="AO223" s="12" t="str">
        <f t="shared" si="342"/>
        <v/>
      </c>
      <c r="AP223" s="12">
        <f t="shared" si="343"/>
        <v>7.02</v>
      </c>
      <c r="AQ223" s="12">
        <f t="shared" si="344"/>
        <v>3.5840000000000005</v>
      </c>
      <c r="AR223" s="12">
        <f t="shared" si="345"/>
        <v>21.883000000000003</v>
      </c>
      <c r="AS223" s="12" t="str">
        <f t="shared" si="164"/>
        <v/>
      </c>
      <c r="AT223" s="12" t="str">
        <f t="shared" si="165"/>
        <v/>
      </c>
      <c r="AU223" s="12" t="str">
        <f t="shared" si="166"/>
        <v/>
      </c>
      <c r="AV223" s="17"/>
      <c r="AX223" s="4"/>
    </row>
    <row r="224" spans="1:50" x14ac:dyDescent="0.25">
      <c r="A224" s="43" t="s">
        <v>276</v>
      </c>
      <c r="B224" s="52"/>
      <c r="C224" s="44"/>
      <c r="D224" s="43"/>
      <c r="E224" s="52"/>
      <c r="F224" s="46"/>
      <c r="G224" s="76" t="s">
        <v>292</v>
      </c>
      <c r="H224" s="48" t="s">
        <v>334</v>
      </c>
      <c r="I224" s="48"/>
      <c r="J224" s="84"/>
      <c r="K224" s="85"/>
      <c r="L224" s="47"/>
      <c r="M224" s="3">
        <v>6.8</v>
      </c>
      <c r="N224" s="3">
        <f>6.4-3.55</f>
        <v>2.8500000000000005</v>
      </c>
      <c r="O224" s="22">
        <v>0.2</v>
      </c>
      <c r="P224" s="23">
        <v>1</v>
      </c>
      <c r="Q224" s="3"/>
      <c r="R224" s="3"/>
      <c r="S224" s="3"/>
      <c r="T224" s="3"/>
      <c r="U224" s="3"/>
      <c r="V224" s="23"/>
      <c r="W224" s="3"/>
      <c r="X224" s="3"/>
      <c r="Y224" s="17"/>
      <c r="Z224" s="17"/>
      <c r="AA224" s="3"/>
      <c r="AB224" s="3"/>
      <c r="AC224" s="3">
        <f>M224*N224*2</f>
        <v>38.760000000000005</v>
      </c>
      <c r="AD224" s="3"/>
      <c r="AE224" s="3"/>
      <c r="AF224" s="3"/>
      <c r="AG224" s="3"/>
      <c r="AH224" s="3"/>
      <c r="AI224" s="3"/>
      <c r="AJ224" s="3"/>
      <c r="AK224" s="12">
        <f t="shared" si="338"/>
        <v>19.380000000000003</v>
      </c>
      <c r="AL224" s="12">
        <f t="shared" si="339"/>
        <v>19.380000000000003</v>
      </c>
      <c r="AM224" s="12">
        <f t="shared" si="340"/>
        <v>3.8760000000000008</v>
      </c>
      <c r="AN224" s="12">
        <f t="shared" si="341"/>
        <v>3.8760000000000008</v>
      </c>
      <c r="AO224" s="12" t="str">
        <f t="shared" si="342"/>
        <v/>
      </c>
      <c r="AP224" s="12">
        <f t="shared" si="343"/>
        <v>6.8</v>
      </c>
      <c r="AQ224" s="12" t="str">
        <f t="shared" si="344"/>
        <v/>
      </c>
      <c r="AR224" s="12">
        <f t="shared" si="345"/>
        <v>38.760000000000005</v>
      </c>
      <c r="AS224" s="12" t="str">
        <f t="shared" si="164"/>
        <v/>
      </c>
      <c r="AT224" s="12" t="str">
        <f t="shared" si="165"/>
        <v/>
      </c>
      <c r="AU224" s="12" t="str">
        <f t="shared" si="166"/>
        <v/>
      </c>
      <c r="AV224" s="17"/>
      <c r="AX224" s="4"/>
    </row>
    <row r="225" spans="1:50" x14ac:dyDescent="0.25">
      <c r="A225" s="43" t="s">
        <v>276</v>
      </c>
      <c r="B225" s="52"/>
      <c r="C225" s="44"/>
      <c r="D225" s="43"/>
      <c r="E225" s="52"/>
      <c r="F225" s="46"/>
      <c r="G225" s="76" t="s">
        <v>293</v>
      </c>
      <c r="H225" s="48" t="s">
        <v>334</v>
      </c>
      <c r="I225" s="48"/>
      <c r="J225" s="84"/>
      <c r="K225" s="85"/>
      <c r="L225" s="47"/>
      <c r="M225" s="3">
        <v>6.7</v>
      </c>
      <c r="N225" s="3">
        <f>6.4-3.55</f>
        <v>2.8500000000000005</v>
      </c>
      <c r="O225" s="22">
        <v>0.2</v>
      </c>
      <c r="P225" s="23">
        <v>1</v>
      </c>
      <c r="Q225" s="3"/>
      <c r="R225" s="3">
        <f>1.9*2.65+0.77*2.65</f>
        <v>7.075499999999999</v>
      </c>
      <c r="S225" s="3"/>
      <c r="T225" s="3"/>
      <c r="U225" s="3"/>
      <c r="V225" s="23"/>
      <c r="W225" s="3"/>
      <c r="X225" s="3"/>
      <c r="Y225" s="17"/>
      <c r="Z225" s="17"/>
      <c r="AA225" s="3">
        <f>(1.9+0.77+2.65*4)*0.2</f>
        <v>2.6539999999999999</v>
      </c>
      <c r="AB225" s="3"/>
      <c r="AC225" s="3">
        <f>M225*N225*2</f>
        <v>38.190000000000005</v>
      </c>
      <c r="AD225" s="3">
        <f>-R225*2</f>
        <v>-14.150999999999998</v>
      </c>
      <c r="AE225" s="3"/>
      <c r="AF225" s="3"/>
      <c r="AG225" s="3"/>
      <c r="AH225" s="3"/>
      <c r="AI225" s="3"/>
      <c r="AJ225" s="3"/>
      <c r="AK225" s="12">
        <f t="shared" si="338"/>
        <v>12.019500000000004</v>
      </c>
      <c r="AL225" s="12">
        <f t="shared" si="339"/>
        <v>12.019500000000004</v>
      </c>
      <c r="AM225" s="12">
        <f t="shared" si="340"/>
        <v>2.403900000000001</v>
      </c>
      <c r="AN225" s="12">
        <f t="shared" si="341"/>
        <v>2.403900000000001</v>
      </c>
      <c r="AO225" s="12" t="str">
        <f t="shared" si="342"/>
        <v/>
      </c>
      <c r="AP225" s="12">
        <f t="shared" si="343"/>
        <v>6.7</v>
      </c>
      <c r="AQ225" s="12">
        <f t="shared" si="344"/>
        <v>2.6539999999999999</v>
      </c>
      <c r="AR225" s="12">
        <f t="shared" si="345"/>
        <v>24.039000000000009</v>
      </c>
      <c r="AS225" s="12" t="str">
        <f t="shared" si="164"/>
        <v/>
      </c>
      <c r="AT225" s="12" t="str">
        <f t="shared" si="165"/>
        <v/>
      </c>
      <c r="AU225" s="12" t="str">
        <f t="shared" si="166"/>
        <v/>
      </c>
      <c r="AV225" s="17"/>
      <c r="AX225" s="4"/>
    </row>
    <row r="226" spans="1:50" x14ac:dyDescent="0.25">
      <c r="A226" s="43" t="s">
        <v>276</v>
      </c>
      <c r="B226" s="52"/>
      <c r="C226" s="44"/>
      <c r="D226" s="43"/>
      <c r="E226" s="52"/>
      <c r="F226" s="46"/>
      <c r="G226" s="76" t="s">
        <v>296</v>
      </c>
      <c r="H226" s="48" t="s">
        <v>334</v>
      </c>
      <c r="I226" s="48"/>
      <c r="J226" s="84"/>
      <c r="K226" s="85"/>
      <c r="L226" s="47"/>
      <c r="M226" s="3">
        <v>18.7</v>
      </c>
      <c r="N226" s="3">
        <f>6.45-3.55</f>
        <v>2.9000000000000004</v>
      </c>
      <c r="O226" s="22">
        <v>0.2</v>
      </c>
      <c r="P226" s="23">
        <v>1</v>
      </c>
      <c r="Q226" s="3"/>
      <c r="R226" s="3">
        <f>0.95*2.2+1.25*2.2+3.05*2.65+2*2.65</f>
        <v>18.2225</v>
      </c>
      <c r="S226" s="3"/>
      <c r="T226" s="3"/>
      <c r="U226" s="3"/>
      <c r="V226" s="23"/>
      <c r="W226" s="3"/>
      <c r="X226" s="3"/>
      <c r="Y226" s="17"/>
      <c r="Z226" s="17"/>
      <c r="AA226" s="3">
        <f>(0.95+1.25+3.05+2+2.2*4+2.65*4)*0.2</f>
        <v>5.33</v>
      </c>
      <c r="AB226" s="3"/>
      <c r="AC226" s="3">
        <f>M226*N226*2</f>
        <v>108.46000000000001</v>
      </c>
      <c r="AD226" s="3">
        <f>-R226*2</f>
        <v>-36.445</v>
      </c>
      <c r="AE226" s="3"/>
      <c r="AF226" s="3"/>
      <c r="AG226" s="3"/>
      <c r="AH226" s="3"/>
      <c r="AI226" s="3"/>
      <c r="AJ226" s="3"/>
      <c r="AK226" s="12">
        <f t="shared" si="338"/>
        <v>36.007500000000007</v>
      </c>
      <c r="AL226" s="12">
        <f t="shared" si="339"/>
        <v>36.007500000000007</v>
      </c>
      <c r="AM226" s="12">
        <f t="shared" si="340"/>
        <v>7.201500000000002</v>
      </c>
      <c r="AN226" s="12">
        <f t="shared" si="341"/>
        <v>7.201500000000002</v>
      </c>
      <c r="AO226" s="12" t="str">
        <f t="shared" si="342"/>
        <v/>
      </c>
      <c r="AP226" s="12">
        <f t="shared" si="343"/>
        <v>18.7</v>
      </c>
      <c r="AQ226" s="12">
        <f t="shared" si="344"/>
        <v>5.33</v>
      </c>
      <c r="AR226" s="12">
        <f t="shared" si="345"/>
        <v>72.015000000000015</v>
      </c>
      <c r="AS226" s="12" t="str">
        <f t="shared" si="164"/>
        <v/>
      </c>
      <c r="AT226" s="12" t="str">
        <f t="shared" si="165"/>
        <v/>
      </c>
      <c r="AU226" s="12" t="str">
        <f t="shared" si="166"/>
        <v/>
      </c>
      <c r="AV226" s="17"/>
      <c r="AX226" s="4"/>
    </row>
    <row r="227" spans="1:50" x14ac:dyDescent="0.25">
      <c r="A227" s="43" t="s">
        <v>276</v>
      </c>
      <c r="B227" s="52"/>
      <c r="C227" s="44"/>
      <c r="D227" s="43"/>
      <c r="E227" s="52"/>
      <c r="F227" s="46"/>
      <c r="G227" s="76" t="s">
        <v>297</v>
      </c>
      <c r="H227" s="48" t="s">
        <v>334</v>
      </c>
      <c r="I227" s="48"/>
      <c r="J227" s="84"/>
      <c r="K227" s="85"/>
      <c r="L227" s="47"/>
      <c r="M227" s="3">
        <v>6.7</v>
      </c>
      <c r="N227" s="3">
        <f>6.45-3.55</f>
        <v>2.9000000000000004</v>
      </c>
      <c r="O227" s="22">
        <v>0.2</v>
      </c>
      <c r="P227" s="23">
        <v>1</v>
      </c>
      <c r="Q227" s="3"/>
      <c r="R227" s="3">
        <f>3*2.65</f>
        <v>7.9499999999999993</v>
      </c>
      <c r="S227" s="3"/>
      <c r="T227" s="3"/>
      <c r="U227" s="3"/>
      <c r="V227" s="23"/>
      <c r="W227" s="3"/>
      <c r="X227" s="3"/>
      <c r="Y227" s="17"/>
      <c r="Z227" s="17"/>
      <c r="AA227" s="3">
        <f>(3+2.65*2)*0.2</f>
        <v>1.6600000000000001</v>
      </c>
      <c r="AB227" s="3"/>
      <c r="AC227" s="3">
        <f>M227*N227*2</f>
        <v>38.860000000000007</v>
      </c>
      <c r="AD227" s="3">
        <f t="shared" ref="AD227:AD229" si="367">-R227*2</f>
        <v>-15.899999999999999</v>
      </c>
      <c r="AE227" s="3"/>
      <c r="AF227" s="3"/>
      <c r="AG227" s="3"/>
      <c r="AH227" s="3"/>
      <c r="AI227" s="3"/>
      <c r="AJ227" s="3"/>
      <c r="AK227" s="12">
        <f t="shared" si="338"/>
        <v>11.480000000000004</v>
      </c>
      <c r="AL227" s="12">
        <f t="shared" si="339"/>
        <v>11.480000000000004</v>
      </c>
      <c r="AM227" s="12">
        <f t="shared" si="340"/>
        <v>2.2960000000000007</v>
      </c>
      <c r="AN227" s="12">
        <f t="shared" si="341"/>
        <v>2.2960000000000007</v>
      </c>
      <c r="AO227" s="12" t="str">
        <f t="shared" si="342"/>
        <v/>
      </c>
      <c r="AP227" s="12">
        <f t="shared" si="343"/>
        <v>6.7</v>
      </c>
      <c r="AQ227" s="12">
        <f t="shared" si="344"/>
        <v>1.6600000000000001</v>
      </c>
      <c r="AR227" s="12">
        <f t="shared" si="345"/>
        <v>22.960000000000008</v>
      </c>
      <c r="AS227" s="12" t="str">
        <f t="shared" si="164"/>
        <v/>
      </c>
      <c r="AT227" s="12" t="str">
        <f t="shared" si="165"/>
        <v/>
      </c>
      <c r="AU227" s="12" t="str">
        <f t="shared" si="166"/>
        <v/>
      </c>
      <c r="AV227" s="17"/>
      <c r="AX227" s="4"/>
    </row>
    <row r="228" spans="1:50" x14ac:dyDescent="0.25">
      <c r="A228" s="43" t="s">
        <v>276</v>
      </c>
      <c r="B228" s="52"/>
      <c r="C228" s="44"/>
      <c r="D228" s="43"/>
      <c r="E228" s="52"/>
      <c r="F228" s="46"/>
      <c r="G228" s="76" t="s">
        <v>298</v>
      </c>
      <c r="H228" s="48" t="s">
        <v>334</v>
      </c>
      <c r="I228" s="48"/>
      <c r="J228" s="84"/>
      <c r="K228" s="85"/>
      <c r="L228" s="47"/>
      <c r="M228" s="3">
        <f>0.2+0.6+2</f>
        <v>2.8</v>
      </c>
      <c r="N228" s="3">
        <f>6.4-3.55</f>
        <v>2.8500000000000005</v>
      </c>
      <c r="O228" s="22">
        <v>0.2</v>
      </c>
      <c r="P228" s="23">
        <v>1</v>
      </c>
      <c r="Q228" s="3"/>
      <c r="R228" s="3">
        <f>2*2.65</f>
        <v>5.3</v>
      </c>
      <c r="S228" s="3"/>
      <c r="T228" s="3"/>
      <c r="U228" s="3"/>
      <c r="V228" s="23"/>
      <c r="W228" s="3"/>
      <c r="X228" s="3"/>
      <c r="Y228" s="17"/>
      <c r="Z228" s="17"/>
      <c r="AA228" s="3">
        <f>(2+2.65*2)*0.2</f>
        <v>1.46</v>
      </c>
      <c r="AB228" s="3"/>
      <c r="AC228" s="3">
        <f t="shared" ref="AC228:AC230" si="368">M228*N228*2</f>
        <v>15.960000000000003</v>
      </c>
      <c r="AD228" s="3">
        <f t="shared" si="367"/>
        <v>-10.6</v>
      </c>
      <c r="AE228" s="3"/>
      <c r="AF228" s="3"/>
      <c r="AG228" s="3"/>
      <c r="AH228" s="3"/>
      <c r="AI228" s="3"/>
      <c r="AJ228" s="3"/>
      <c r="AK228" s="12">
        <f t="shared" si="338"/>
        <v>2.6800000000000015</v>
      </c>
      <c r="AL228" s="12">
        <f t="shared" si="339"/>
        <v>2.6800000000000015</v>
      </c>
      <c r="AM228" s="12">
        <f t="shared" si="340"/>
        <v>0.53600000000000037</v>
      </c>
      <c r="AN228" s="12">
        <f t="shared" si="341"/>
        <v>0.53600000000000037</v>
      </c>
      <c r="AO228" s="12" t="str">
        <f t="shared" si="342"/>
        <v/>
      </c>
      <c r="AP228" s="12">
        <f t="shared" si="343"/>
        <v>2.8</v>
      </c>
      <c r="AQ228" s="12">
        <f t="shared" si="344"/>
        <v>1.46</v>
      </c>
      <c r="AR228" s="12">
        <f t="shared" si="345"/>
        <v>5.360000000000003</v>
      </c>
      <c r="AS228" s="12" t="str">
        <f t="shared" si="164"/>
        <v/>
      </c>
      <c r="AT228" s="12" t="str">
        <f t="shared" si="165"/>
        <v/>
      </c>
      <c r="AU228" s="12" t="str">
        <f t="shared" si="166"/>
        <v/>
      </c>
      <c r="AV228" s="17"/>
      <c r="AX228" s="4"/>
    </row>
    <row r="229" spans="1:50" x14ac:dyDescent="0.25">
      <c r="A229" s="43" t="s">
        <v>276</v>
      </c>
      <c r="B229" s="52"/>
      <c r="C229" s="44"/>
      <c r="D229" s="43"/>
      <c r="E229" s="52"/>
      <c r="F229" s="46"/>
      <c r="G229" s="76"/>
      <c r="H229" s="48" t="s">
        <v>334</v>
      </c>
      <c r="I229" s="48"/>
      <c r="J229" s="84"/>
      <c r="K229" s="85"/>
      <c r="L229" s="47"/>
      <c r="M229" s="3">
        <f>3.05+6.05+2.6+0.2</f>
        <v>11.899999999999999</v>
      </c>
      <c r="N229" s="3">
        <f>6.45-3.55</f>
        <v>2.9000000000000004</v>
      </c>
      <c r="O229" s="22">
        <v>0.2</v>
      </c>
      <c r="P229" s="23">
        <v>1</v>
      </c>
      <c r="Q229" s="3"/>
      <c r="R229" s="3">
        <f>3.05*2.65</f>
        <v>8.0824999999999996</v>
      </c>
      <c r="S229" s="3"/>
      <c r="T229" s="3"/>
      <c r="U229" s="3"/>
      <c r="V229" s="23"/>
      <c r="W229" s="3"/>
      <c r="X229" s="3"/>
      <c r="Y229" s="17"/>
      <c r="Z229" s="17"/>
      <c r="AA229" s="3">
        <f>(3.05+2.65*2)*0.2</f>
        <v>1.67</v>
      </c>
      <c r="AB229" s="3"/>
      <c r="AC229" s="3">
        <f t="shared" si="368"/>
        <v>69.02</v>
      </c>
      <c r="AD229" s="3">
        <f t="shared" si="367"/>
        <v>-16.164999999999999</v>
      </c>
      <c r="AE229" s="3"/>
      <c r="AF229" s="3"/>
      <c r="AG229" s="3"/>
      <c r="AH229" s="3"/>
      <c r="AI229" s="3"/>
      <c r="AJ229" s="3"/>
      <c r="AK229" s="12">
        <f t="shared" si="338"/>
        <v>26.427499999999998</v>
      </c>
      <c r="AL229" s="12">
        <f t="shared" si="339"/>
        <v>26.427499999999998</v>
      </c>
      <c r="AM229" s="12">
        <f t="shared" si="340"/>
        <v>5.2854999999999999</v>
      </c>
      <c r="AN229" s="12">
        <f t="shared" si="341"/>
        <v>5.2854999999999999</v>
      </c>
      <c r="AO229" s="12" t="str">
        <f t="shared" si="342"/>
        <v/>
      </c>
      <c r="AP229" s="12">
        <f t="shared" si="343"/>
        <v>11.899999999999999</v>
      </c>
      <c r="AQ229" s="12">
        <f t="shared" si="344"/>
        <v>1.67</v>
      </c>
      <c r="AR229" s="12">
        <f t="shared" si="345"/>
        <v>52.854999999999997</v>
      </c>
      <c r="AS229" s="12" t="str">
        <f t="shared" si="164"/>
        <v/>
      </c>
      <c r="AT229" s="12" t="str">
        <f t="shared" si="165"/>
        <v/>
      </c>
      <c r="AU229" s="12" t="str">
        <f t="shared" si="166"/>
        <v/>
      </c>
      <c r="AV229" s="17"/>
      <c r="AX229" s="4"/>
    </row>
    <row r="230" spans="1:50" x14ac:dyDescent="0.25">
      <c r="A230" s="43" t="s">
        <v>276</v>
      </c>
      <c r="B230" s="52"/>
      <c r="C230" s="44"/>
      <c r="D230" s="43"/>
      <c r="E230" s="52"/>
      <c r="F230" s="46"/>
      <c r="G230" s="76" t="s">
        <v>299</v>
      </c>
      <c r="H230" s="48" t="s">
        <v>334</v>
      </c>
      <c r="I230" s="48"/>
      <c r="J230" s="84"/>
      <c r="K230" s="85"/>
      <c r="L230" s="47"/>
      <c r="M230" s="3">
        <v>4.4649999999999999</v>
      </c>
      <c r="N230" s="3">
        <f>6.45-3.55</f>
        <v>2.9000000000000004</v>
      </c>
      <c r="O230" s="22">
        <v>0.25</v>
      </c>
      <c r="P230" s="23">
        <v>1</v>
      </c>
      <c r="Q230" s="3"/>
      <c r="R230" s="3"/>
      <c r="S230" s="3"/>
      <c r="T230" s="3"/>
      <c r="U230" s="3"/>
      <c r="V230" s="23"/>
      <c r="W230" s="3"/>
      <c r="X230" s="3"/>
      <c r="Y230" s="17"/>
      <c r="Z230" s="17"/>
      <c r="AA230" s="3">
        <f>0.25*2*2.9</f>
        <v>1.45</v>
      </c>
      <c r="AB230" s="3"/>
      <c r="AC230" s="3">
        <f t="shared" si="368"/>
        <v>25.897000000000002</v>
      </c>
      <c r="AD230" s="3"/>
      <c r="AE230" s="3"/>
      <c r="AF230" s="3"/>
      <c r="AG230" s="3"/>
      <c r="AH230" s="3"/>
      <c r="AI230" s="3"/>
      <c r="AJ230" s="3"/>
      <c r="AK230" s="12">
        <f t="shared" si="338"/>
        <v>12.948500000000001</v>
      </c>
      <c r="AL230" s="12">
        <f t="shared" si="339"/>
        <v>12.948500000000001</v>
      </c>
      <c r="AM230" s="12">
        <f t="shared" si="340"/>
        <v>3.2371250000000003</v>
      </c>
      <c r="AN230" s="12">
        <f t="shared" si="341"/>
        <v>3.2371250000000003</v>
      </c>
      <c r="AO230" s="12" t="str">
        <f t="shared" si="342"/>
        <v/>
      </c>
      <c r="AP230" s="12">
        <f t="shared" si="343"/>
        <v>4.4649999999999999</v>
      </c>
      <c r="AQ230" s="12">
        <f t="shared" si="344"/>
        <v>1.45</v>
      </c>
      <c r="AR230" s="12">
        <f t="shared" si="345"/>
        <v>25.897000000000002</v>
      </c>
      <c r="AS230" s="12" t="str">
        <f t="shared" si="164"/>
        <v/>
      </c>
      <c r="AT230" s="12" t="str">
        <f t="shared" si="165"/>
        <v/>
      </c>
      <c r="AU230" s="12" t="str">
        <f t="shared" si="166"/>
        <v/>
      </c>
      <c r="AV230" s="17"/>
      <c r="AX230" s="4"/>
    </row>
    <row r="231" spans="1:50" x14ac:dyDescent="0.25">
      <c r="A231" s="43" t="s">
        <v>276</v>
      </c>
      <c r="B231" s="52"/>
      <c r="C231" s="44"/>
      <c r="D231" s="43"/>
      <c r="E231" s="52"/>
      <c r="F231" s="46"/>
      <c r="G231" s="76" t="s">
        <v>300</v>
      </c>
      <c r="H231" s="48" t="s">
        <v>334</v>
      </c>
      <c r="I231" s="48"/>
      <c r="J231" s="84"/>
      <c r="K231" s="85"/>
      <c r="L231" s="47"/>
      <c r="M231" s="3">
        <v>1.48</v>
      </c>
      <c r="N231" s="3">
        <f>6.45-3.55</f>
        <v>2.9000000000000004</v>
      </c>
      <c r="O231" s="22">
        <v>0.17</v>
      </c>
      <c r="P231" s="23">
        <v>1</v>
      </c>
      <c r="Q231" s="3"/>
      <c r="R231" s="3"/>
      <c r="S231" s="3"/>
      <c r="T231" s="3">
        <f>0.79*0.05</f>
        <v>3.9500000000000007E-2</v>
      </c>
      <c r="U231" s="3"/>
      <c r="V231" s="23"/>
      <c r="W231" s="3"/>
      <c r="X231" s="3"/>
      <c r="Y231" s="17"/>
      <c r="Z231" s="17"/>
      <c r="AA231" s="3">
        <f>0.17*2*2.9</f>
        <v>0.98599999999999999</v>
      </c>
      <c r="AB231" s="3"/>
      <c r="AC231" s="3">
        <f t="shared" ref="AC231:AC232" si="369">M231*N231*2</f>
        <v>8.5840000000000014</v>
      </c>
      <c r="AD231" s="3"/>
      <c r="AE231" s="3"/>
      <c r="AF231" s="3"/>
      <c r="AG231" s="3"/>
      <c r="AH231" s="3"/>
      <c r="AI231" s="3"/>
      <c r="AJ231" s="3"/>
      <c r="AK231" s="12">
        <f t="shared" si="338"/>
        <v>4.331500000000001</v>
      </c>
      <c r="AL231" s="12">
        <f t="shared" si="339"/>
        <v>4.331500000000001</v>
      </c>
      <c r="AM231" s="12">
        <f t="shared" si="340"/>
        <v>0.7363550000000002</v>
      </c>
      <c r="AN231" s="12">
        <f t="shared" si="341"/>
        <v>0.7363550000000002</v>
      </c>
      <c r="AO231" s="12" t="str">
        <f t="shared" si="342"/>
        <v/>
      </c>
      <c r="AP231" s="12">
        <f t="shared" si="343"/>
        <v>1.48</v>
      </c>
      <c r="AQ231" s="12">
        <f t="shared" si="344"/>
        <v>0.98599999999999999</v>
      </c>
      <c r="AR231" s="12">
        <f t="shared" si="345"/>
        <v>8.5840000000000014</v>
      </c>
      <c r="AS231" s="12" t="str">
        <f t="shared" si="164"/>
        <v/>
      </c>
      <c r="AT231" s="12" t="str">
        <f t="shared" si="165"/>
        <v/>
      </c>
      <c r="AU231" s="12" t="str">
        <f t="shared" si="166"/>
        <v/>
      </c>
      <c r="AV231" s="17"/>
      <c r="AX231" s="4"/>
    </row>
    <row r="232" spans="1:50" x14ac:dyDescent="0.25">
      <c r="A232" s="43" t="s">
        <v>276</v>
      </c>
      <c r="B232" s="52"/>
      <c r="C232" s="44"/>
      <c r="D232" s="43"/>
      <c r="E232" s="52"/>
      <c r="F232" s="46"/>
      <c r="G232" s="76" t="s">
        <v>301</v>
      </c>
      <c r="H232" s="48" t="s">
        <v>334</v>
      </c>
      <c r="I232" s="48"/>
      <c r="J232" s="84"/>
      <c r="K232" s="85"/>
      <c r="L232" s="47"/>
      <c r="M232" s="3">
        <v>0.41499999999999998</v>
      </c>
      <c r="N232" s="3">
        <f>6.45-3.55</f>
        <v>2.9000000000000004</v>
      </c>
      <c r="O232" s="22">
        <v>0.19</v>
      </c>
      <c r="P232" s="23">
        <v>1</v>
      </c>
      <c r="Q232" s="3"/>
      <c r="R232" s="3"/>
      <c r="S232" s="3"/>
      <c r="T232" s="3"/>
      <c r="U232" s="3"/>
      <c r="V232" s="23"/>
      <c r="W232" s="3"/>
      <c r="X232" s="3"/>
      <c r="Y232" s="17"/>
      <c r="Z232" s="17"/>
      <c r="AA232" s="3">
        <f>0.19*2*2.9</f>
        <v>1.1019999999999999</v>
      </c>
      <c r="AB232" s="3"/>
      <c r="AC232" s="3">
        <f t="shared" si="369"/>
        <v>2.407</v>
      </c>
      <c r="AD232" s="3"/>
      <c r="AE232" s="3"/>
      <c r="AF232" s="3"/>
      <c r="AG232" s="3"/>
      <c r="AH232" s="3"/>
      <c r="AI232" s="3"/>
      <c r="AJ232" s="3"/>
      <c r="AK232" s="12">
        <f t="shared" si="338"/>
        <v>1.2035</v>
      </c>
      <c r="AL232" s="12">
        <f t="shared" si="339"/>
        <v>1.2035</v>
      </c>
      <c r="AM232" s="12">
        <f t="shared" si="340"/>
        <v>0.22866500000000001</v>
      </c>
      <c r="AN232" s="12">
        <f t="shared" si="341"/>
        <v>0.22866500000000001</v>
      </c>
      <c r="AO232" s="12" t="str">
        <f t="shared" si="342"/>
        <v/>
      </c>
      <c r="AP232" s="12">
        <f t="shared" si="343"/>
        <v>0.41499999999999998</v>
      </c>
      <c r="AQ232" s="12">
        <f t="shared" si="344"/>
        <v>1.1019999999999999</v>
      </c>
      <c r="AR232" s="12">
        <f t="shared" si="345"/>
        <v>2.407</v>
      </c>
      <c r="AS232" s="12" t="str">
        <f t="shared" si="164"/>
        <v/>
      </c>
      <c r="AT232" s="12" t="str">
        <f t="shared" si="165"/>
        <v/>
      </c>
      <c r="AU232" s="12" t="str">
        <f t="shared" si="166"/>
        <v/>
      </c>
      <c r="AV232" s="17"/>
      <c r="AX232" s="4"/>
    </row>
    <row r="233" spans="1:50" x14ac:dyDescent="0.25">
      <c r="A233" s="43" t="s">
        <v>276</v>
      </c>
      <c r="B233" s="52"/>
      <c r="C233" s="44"/>
      <c r="D233" s="43"/>
      <c r="E233" s="52"/>
      <c r="F233" s="46"/>
      <c r="G233" s="76" t="s">
        <v>302</v>
      </c>
      <c r="H233" s="48" t="s">
        <v>339</v>
      </c>
      <c r="I233" s="48"/>
      <c r="J233" s="84"/>
      <c r="K233" s="85"/>
      <c r="L233" s="47" t="s">
        <v>328</v>
      </c>
      <c r="M233" s="3">
        <v>2.4</v>
      </c>
      <c r="N233" s="3">
        <f t="shared" ref="N233:N234" si="370">6.65-3.55</f>
        <v>3.1000000000000005</v>
      </c>
      <c r="O233" s="22">
        <v>0.2</v>
      </c>
      <c r="P233" s="23">
        <v>1</v>
      </c>
      <c r="Q233" s="3"/>
      <c r="R233" s="3"/>
      <c r="S233" s="3"/>
      <c r="T233" s="3"/>
      <c r="U233" s="3"/>
      <c r="V233" s="23"/>
      <c r="W233" s="3"/>
      <c r="X233" s="3"/>
      <c r="Y233" s="17"/>
      <c r="Z233" s="17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12">
        <f t="shared" si="338"/>
        <v>7.4400000000000013</v>
      </c>
      <c r="AL233" s="12">
        <f t="shared" si="339"/>
        <v>7.4400000000000013</v>
      </c>
      <c r="AM233" s="12">
        <f t="shared" si="340"/>
        <v>1.4880000000000004</v>
      </c>
      <c r="AN233" s="12">
        <f t="shared" si="341"/>
        <v>1.4880000000000004</v>
      </c>
      <c r="AO233" s="12" t="str">
        <f t="shared" si="342"/>
        <v/>
      </c>
      <c r="AP233" s="12">
        <f t="shared" si="343"/>
        <v>2.4</v>
      </c>
      <c r="AQ233" s="12" t="str">
        <f t="shared" si="344"/>
        <v/>
      </c>
      <c r="AR233" s="12" t="str">
        <f t="shared" si="345"/>
        <v/>
      </c>
      <c r="AS233" s="12" t="str">
        <f t="shared" si="164"/>
        <v/>
      </c>
      <c r="AT233" s="12" t="str">
        <f t="shared" si="165"/>
        <v/>
      </c>
      <c r="AU233" s="12" t="str">
        <f t="shared" si="166"/>
        <v/>
      </c>
      <c r="AV233" s="17"/>
      <c r="AX233" s="4"/>
    </row>
    <row r="234" spans="1:50" x14ac:dyDescent="0.25">
      <c r="A234" s="43" t="s">
        <v>276</v>
      </c>
      <c r="B234" s="52"/>
      <c r="C234" s="44"/>
      <c r="D234" s="43"/>
      <c r="E234" s="52"/>
      <c r="F234" s="46"/>
      <c r="G234" s="76" t="s">
        <v>303</v>
      </c>
      <c r="H234" s="48" t="s">
        <v>339</v>
      </c>
      <c r="I234" s="48"/>
      <c r="J234" s="84"/>
      <c r="K234" s="85"/>
      <c r="L234" s="47"/>
      <c r="M234" s="3">
        <f>0.2+3.04</f>
        <v>3.24</v>
      </c>
      <c r="N234" s="3">
        <f t="shared" si="370"/>
        <v>3.1000000000000005</v>
      </c>
      <c r="O234" s="22">
        <v>0.2</v>
      </c>
      <c r="P234" s="23">
        <v>1</v>
      </c>
      <c r="Q234" s="3"/>
      <c r="R234" s="3"/>
      <c r="S234" s="3"/>
      <c r="T234" s="3"/>
      <c r="U234" s="3"/>
      <c r="V234" s="23"/>
      <c r="W234" s="3"/>
      <c r="X234" s="3"/>
      <c r="Y234" s="17"/>
      <c r="Z234" s="17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12">
        <f t="shared" si="338"/>
        <v>10.044000000000002</v>
      </c>
      <c r="AL234" s="12">
        <f t="shared" si="339"/>
        <v>10.044000000000002</v>
      </c>
      <c r="AM234" s="12">
        <f t="shared" si="340"/>
        <v>2.0088000000000004</v>
      </c>
      <c r="AN234" s="12">
        <f t="shared" si="341"/>
        <v>2.0088000000000004</v>
      </c>
      <c r="AO234" s="12" t="str">
        <f t="shared" si="342"/>
        <v/>
      </c>
      <c r="AP234" s="12">
        <f t="shared" si="343"/>
        <v>3.24</v>
      </c>
      <c r="AQ234" s="12" t="str">
        <f t="shared" si="344"/>
        <v/>
      </c>
      <c r="AR234" s="12" t="str">
        <f t="shared" si="345"/>
        <v/>
      </c>
      <c r="AS234" s="12" t="str">
        <f t="shared" si="164"/>
        <v/>
      </c>
      <c r="AT234" s="12" t="str">
        <f t="shared" si="165"/>
        <v/>
      </c>
      <c r="AU234" s="12" t="str">
        <f t="shared" si="166"/>
        <v/>
      </c>
      <c r="AV234" s="17"/>
      <c r="AX234" s="4"/>
    </row>
    <row r="235" spans="1:50" x14ac:dyDescent="0.25">
      <c r="A235" s="43" t="s">
        <v>276</v>
      </c>
      <c r="B235" s="52"/>
      <c r="C235" s="44"/>
      <c r="D235" s="43"/>
      <c r="E235" s="52"/>
      <c r="F235" s="46"/>
      <c r="G235" s="76" t="s">
        <v>304</v>
      </c>
      <c r="H235" s="48" t="s">
        <v>339</v>
      </c>
      <c r="I235" s="48"/>
      <c r="J235" s="84"/>
      <c r="K235" s="85"/>
      <c r="L235" s="47"/>
      <c r="M235" s="3">
        <v>1.75</v>
      </c>
      <c r="N235" s="3">
        <f>6.65-3.55</f>
        <v>3.1000000000000005</v>
      </c>
      <c r="O235" s="22">
        <v>0.2</v>
      </c>
      <c r="P235" s="23">
        <v>1</v>
      </c>
      <c r="Q235" s="3"/>
      <c r="R235" s="3"/>
      <c r="S235" s="3"/>
      <c r="T235" s="3"/>
      <c r="U235" s="3"/>
      <c r="V235" s="23"/>
      <c r="W235" s="3"/>
      <c r="X235" s="3"/>
      <c r="Y235" s="17"/>
      <c r="Z235" s="17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12">
        <f t="shared" si="338"/>
        <v>5.4250000000000007</v>
      </c>
      <c r="AL235" s="12">
        <f t="shared" si="339"/>
        <v>5.4250000000000007</v>
      </c>
      <c r="AM235" s="12">
        <f t="shared" si="340"/>
        <v>1.0850000000000002</v>
      </c>
      <c r="AN235" s="12">
        <f t="shared" si="341"/>
        <v>1.0850000000000002</v>
      </c>
      <c r="AO235" s="12" t="str">
        <f t="shared" si="342"/>
        <v/>
      </c>
      <c r="AP235" s="12">
        <f t="shared" si="343"/>
        <v>1.75</v>
      </c>
      <c r="AQ235" s="12" t="str">
        <f t="shared" si="344"/>
        <v/>
      </c>
      <c r="AR235" s="12" t="str">
        <f t="shared" si="345"/>
        <v/>
      </c>
      <c r="AS235" s="12" t="str">
        <f t="shared" si="164"/>
        <v/>
      </c>
      <c r="AT235" s="12" t="str">
        <f t="shared" si="165"/>
        <v/>
      </c>
      <c r="AU235" s="12" t="str">
        <f t="shared" si="166"/>
        <v/>
      </c>
      <c r="AV235" s="17"/>
      <c r="AX235" s="4"/>
    </row>
    <row r="236" spans="1:50" x14ac:dyDescent="0.25">
      <c r="A236" s="43" t="s">
        <v>276</v>
      </c>
      <c r="B236" s="52"/>
      <c r="C236" s="44"/>
      <c r="D236" s="43"/>
      <c r="E236" s="52"/>
      <c r="F236" s="46"/>
      <c r="G236" s="76" t="s">
        <v>305</v>
      </c>
      <c r="H236" s="48" t="s">
        <v>339</v>
      </c>
      <c r="I236" s="48"/>
      <c r="J236" s="84"/>
      <c r="K236" s="85"/>
      <c r="L236" s="47"/>
      <c r="M236" s="3">
        <v>2</v>
      </c>
      <c r="N236" s="3">
        <f>6.45-3.55</f>
        <v>2.9000000000000004</v>
      </c>
      <c r="O236" s="22">
        <v>0.2</v>
      </c>
      <c r="P236" s="23">
        <v>1</v>
      </c>
      <c r="Q236" s="3"/>
      <c r="R236" s="3"/>
      <c r="S236" s="3"/>
      <c r="T236" s="3"/>
      <c r="U236" s="3"/>
      <c r="V236" s="23"/>
      <c r="W236" s="3"/>
      <c r="X236" s="3"/>
      <c r="Y236" s="17"/>
      <c r="Z236" s="17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12">
        <f t="shared" ref="AK236:AK699" si="371">IF(((M236*N236)-Q236-R236-S236+T236+U236)=0,"",((M236*N236)-Q236-R236-S236+T236+U236))</f>
        <v>5.8000000000000007</v>
      </c>
      <c r="AL236" s="12">
        <f t="shared" ref="AL236:AL699" si="372">IF(PRODUCT(P236,AK236)=0,"",P236*AK236)</f>
        <v>5.8000000000000007</v>
      </c>
      <c r="AM236" s="12">
        <f t="shared" ref="AM236:AM699" si="373">IF(PRODUCT(AK236,O236)=0,"",AK236*O236)</f>
        <v>1.1600000000000001</v>
      </c>
      <c r="AN236" s="12">
        <f t="shared" ref="AN236:AN699" si="374">IF(PRODUCT(AM236,P236)=0,"",AM236*P236)</f>
        <v>1.1600000000000001</v>
      </c>
      <c r="AO236" s="12" t="str">
        <f t="shared" ref="AO236:AO699" si="375">IF(N236*V236-W236+X236=0,"",N236*V236-W236+X236)</f>
        <v/>
      </c>
      <c r="AP236" s="12">
        <f t="shared" ref="AP236:AP699" si="376">IF(PRODUCT(M236,P236)=0,"",M236*P236)</f>
        <v>2</v>
      </c>
      <c r="AQ236" s="12" t="str">
        <f t="shared" ref="AQ236:AQ699" si="377">IF(AA236+AB236=0,"",AA236+AB236)</f>
        <v/>
      </c>
      <c r="AR236" s="12" t="str">
        <f t="shared" ref="AR236:AR699" si="378">IF(AC236+AD236=0,"",AC236+AD236)</f>
        <v/>
      </c>
      <c r="AS236" s="12" t="str">
        <f t="shared" si="164"/>
        <v/>
      </c>
      <c r="AT236" s="12" t="str">
        <f t="shared" si="165"/>
        <v/>
      </c>
      <c r="AU236" s="12" t="str">
        <f t="shared" si="166"/>
        <v/>
      </c>
      <c r="AV236" s="17"/>
      <c r="AX236" s="4"/>
    </row>
    <row r="237" spans="1:50" x14ac:dyDescent="0.25">
      <c r="A237" s="43" t="s">
        <v>276</v>
      </c>
      <c r="B237" s="52"/>
      <c r="C237" s="44"/>
      <c r="D237" s="43"/>
      <c r="E237" s="52"/>
      <c r="F237" s="46"/>
      <c r="G237" s="76" t="s">
        <v>306</v>
      </c>
      <c r="H237" s="48" t="s">
        <v>339</v>
      </c>
      <c r="I237" s="48"/>
      <c r="J237" s="84"/>
      <c r="K237" s="85"/>
      <c r="L237" s="47"/>
      <c r="M237" s="3">
        <f>2.4+0.2+1.79+0.2</f>
        <v>4.5900000000000007</v>
      </c>
      <c r="N237" s="3">
        <f>6.45-3.6</f>
        <v>2.85</v>
      </c>
      <c r="O237" s="22">
        <v>0.2</v>
      </c>
      <c r="P237" s="23">
        <v>1</v>
      </c>
      <c r="Q237" s="3"/>
      <c r="R237" s="3">
        <f>1.62*2.2+1.22*2.2</f>
        <v>6.2480000000000011</v>
      </c>
      <c r="S237" s="3"/>
      <c r="T237" s="3"/>
      <c r="U237" s="3"/>
      <c r="V237" s="23"/>
      <c r="W237" s="3"/>
      <c r="X237" s="3"/>
      <c r="Y237" s="17"/>
      <c r="Z237" s="17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12">
        <f t="shared" si="371"/>
        <v>6.8335000000000008</v>
      </c>
      <c r="AL237" s="12">
        <f t="shared" si="372"/>
        <v>6.8335000000000008</v>
      </c>
      <c r="AM237" s="12">
        <f t="shared" si="373"/>
        <v>1.3667000000000002</v>
      </c>
      <c r="AN237" s="12">
        <f t="shared" si="374"/>
        <v>1.3667000000000002</v>
      </c>
      <c r="AO237" s="12" t="str">
        <f t="shared" si="375"/>
        <v/>
      </c>
      <c r="AP237" s="12">
        <f t="shared" si="376"/>
        <v>4.5900000000000007</v>
      </c>
      <c r="AQ237" s="12" t="str">
        <f t="shared" si="377"/>
        <v/>
      </c>
      <c r="AR237" s="12" t="str">
        <f t="shared" si="378"/>
        <v/>
      </c>
      <c r="AS237" s="12" t="str">
        <f t="shared" si="164"/>
        <v/>
      </c>
      <c r="AT237" s="12" t="str">
        <f t="shared" ref="AT237:AT467" si="379">IF(AJ237*P237=0,"",AJ237*P237)</f>
        <v/>
      </c>
      <c r="AU237" s="12" t="str">
        <f t="shared" si="166"/>
        <v/>
      </c>
      <c r="AV237" s="17"/>
      <c r="AX237" s="4"/>
    </row>
    <row r="238" spans="1:50" x14ac:dyDescent="0.25">
      <c r="A238" s="43" t="s">
        <v>276</v>
      </c>
      <c r="B238" s="52"/>
      <c r="C238" s="44"/>
      <c r="D238" s="43"/>
      <c r="E238" s="52"/>
      <c r="F238" s="46"/>
      <c r="G238" s="76" t="s">
        <v>307</v>
      </c>
      <c r="H238" s="48" t="s">
        <v>341</v>
      </c>
      <c r="I238" s="48"/>
      <c r="J238" s="84"/>
      <c r="K238" s="85"/>
      <c r="L238" s="47" t="s">
        <v>327</v>
      </c>
      <c r="M238" s="3">
        <f>4.15+0.6+2.6+2.5</f>
        <v>9.85</v>
      </c>
      <c r="N238" s="3">
        <f>6.25-3.55</f>
        <v>2.7</v>
      </c>
      <c r="O238" s="22">
        <v>0.24</v>
      </c>
      <c r="P238" s="23">
        <v>1</v>
      </c>
      <c r="Q238" s="3">
        <f>0.6*2.75+2.5*2.75</f>
        <v>8.5250000000000004</v>
      </c>
      <c r="R238" s="3"/>
      <c r="S238" s="3"/>
      <c r="T238" s="3"/>
      <c r="U238" s="3"/>
      <c r="V238" s="23"/>
      <c r="W238" s="3"/>
      <c r="X238" s="3"/>
      <c r="Y238" s="17"/>
      <c r="Z238" s="17"/>
      <c r="AA238" s="3"/>
      <c r="AB238" s="3"/>
      <c r="AC238" s="3"/>
      <c r="AD238" s="3"/>
      <c r="AE238" s="3">
        <f>M238</f>
        <v>9.85</v>
      </c>
      <c r="AF238" s="3">
        <f>0.6+2.5</f>
        <v>3.1</v>
      </c>
      <c r="AG238" s="3"/>
      <c r="AH238" s="3">
        <v>0.2</v>
      </c>
      <c r="AI238" s="3">
        <f t="shared" ref="AI238:AI245" si="380">O238</f>
        <v>0.24</v>
      </c>
      <c r="AJ238" s="3">
        <f>((AE238-AF238)*2+AG238)*AH238</f>
        <v>2.7</v>
      </c>
      <c r="AK238" s="12">
        <f t="shared" si="371"/>
        <v>18.07</v>
      </c>
      <c r="AL238" s="12">
        <f t="shared" si="372"/>
        <v>18.07</v>
      </c>
      <c r="AM238" s="12">
        <f t="shared" si="373"/>
        <v>4.3368000000000002</v>
      </c>
      <c r="AN238" s="12">
        <f t="shared" si="374"/>
        <v>4.3368000000000002</v>
      </c>
      <c r="AO238" s="12" t="str">
        <f t="shared" si="375"/>
        <v/>
      </c>
      <c r="AP238" s="12">
        <f t="shared" si="376"/>
        <v>9.85</v>
      </c>
      <c r="AQ238" s="12" t="str">
        <f t="shared" si="377"/>
        <v/>
      </c>
      <c r="AR238" s="12" t="str">
        <f t="shared" si="378"/>
        <v/>
      </c>
      <c r="AS238" s="12">
        <f>IF(((AE238-AF238)*AH238*AI238)*P238=0,"",((AE238-AF238)*AH238*AI238)*P238)</f>
        <v>0.32400000000000001</v>
      </c>
      <c r="AT238" s="12">
        <f t="shared" si="379"/>
        <v>2.7</v>
      </c>
      <c r="AU238" s="12" t="str">
        <f t="shared" si="166"/>
        <v/>
      </c>
      <c r="AV238" s="17"/>
      <c r="AX238" s="4"/>
    </row>
    <row r="239" spans="1:50" x14ac:dyDescent="0.25">
      <c r="A239" s="43" t="s">
        <v>276</v>
      </c>
      <c r="B239" s="52"/>
      <c r="C239" s="44"/>
      <c r="D239" s="43"/>
      <c r="E239" s="52"/>
      <c r="F239" s="46"/>
      <c r="G239" s="76" t="s">
        <v>310</v>
      </c>
      <c r="H239" s="48" t="s">
        <v>341</v>
      </c>
      <c r="I239" s="48"/>
      <c r="J239" s="84"/>
      <c r="K239" s="85"/>
      <c r="L239" s="47"/>
      <c r="M239" s="3">
        <f>1.2*2+2.15*6</f>
        <v>15.299999999999999</v>
      </c>
      <c r="N239" s="3">
        <f>6.25-4.13</f>
        <v>2.12</v>
      </c>
      <c r="O239" s="22">
        <v>0.24</v>
      </c>
      <c r="P239" s="23">
        <v>1</v>
      </c>
      <c r="Q239" s="3"/>
      <c r="R239" s="3"/>
      <c r="S239" s="3"/>
      <c r="T239" s="3"/>
      <c r="U239" s="3"/>
      <c r="V239" s="23"/>
      <c r="W239" s="3"/>
      <c r="X239" s="3"/>
      <c r="Y239" s="17"/>
      <c r="Z239" s="17"/>
      <c r="AA239" s="3"/>
      <c r="AB239" s="3"/>
      <c r="AC239" s="3"/>
      <c r="AD239" s="3"/>
      <c r="AE239" s="3">
        <f t="shared" ref="AE239:AE287" si="381">M239</f>
        <v>15.299999999999999</v>
      </c>
      <c r="AF239" s="3"/>
      <c r="AG239" s="3"/>
      <c r="AH239" s="3">
        <v>0.2</v>
      </c>
      <c r="AI239" s="3">
        <f t="shared" si="380"/>
        <v>0.24</v>
      </c>
      <c r="AJ239" s="3">
        <f t="shared" ref="AJ239:AJ287" si="382">((AE239-AF239)*2+AG239)*AH239</f>
        <v>6.12</v>
      </c>
      <c r="AK239" s="12">
        <f t="shared" si="371"/>
        <v>32.436</v>
      </c>
      <c r="AL239" s="12">
        <f t="shared" si="372"/>
        <v>32.436</v>
      </c>
      <c r="AM239" s="12">
        <f t="shared" si="373"/>
        <v>7.7846399999999996</v>
      </c>
      <c r="AN239" s="12">
        <f t="shared" si="374"/>
        <v>7.7846399999999996</v>
      </c>
      <c r="AO239" s="12" t="str">
        <f t="shared" si="375"/>
        <v/>
      </c>
      <c r="AP239" s="12">
        <f t="shared" si="376"/>
        <v>15.299999999999999</v>
      </c>
      <c r="AQ239" s="12" t="str">
        <f t="shared" si="377"/>
        <v/>
      </c>
      <c r="AR239" s="12" t="str">
        <f t="shared" si="378"/>
        <v/>
      </c>
      <c r="AS239" s="12">
        <f t="shared" ref="AS239:AS270" si="383">IF((AE239*AH239*AI239)*P239=0,"",(AE239*AH239*AI239)*P239)</f>
        <v>0.73439999999999994</v>
      </c>
      <c r="AT239" s="12">
        <f t="shared" si="379"/>
        <v>6.12</v>
      </c>
      <c r="AU239" s="12" t="str">
        <f t="shared" si="166"/>
        <v/>
      </c>
      <c r="AV239" s="17"/>
      <c r="AX239" s="4"/>
    </row>
    <row r="240" spans="1:50" x14ac:dyDescent="0.25">
      <c r="A240" s="43" t="s">
        <v>276</v>
      </c>
      <c r="B240" s="52"/>
      <c r="C240" s="44"/>
      <c r="D240" s="43"/>
      <c r="E240" s="52"/>
      <c r="F240" s="46"/>
      <c r="G240" s="76" t="s">
        <v>311</v>
      </c>
      <c r="H240" s="48" t="s">
        <v>341</v>
      </c>
      <c r="I240" s="48"/>
      <c r="J240" s="84"/>
      <c r="K240" s="85"/>
      <c r="L240" s="47"/>
      <c r="M240" s="3">
        <f>4.275-0.24+2.465</f>
        <v>6.5</v>
      </c>
      <c r="N240" s="3">
        <f>6.25-4.13</f>
        <v>2.12</v>
      </c>
      <c r="O240" s="22">
        <v>0.24</v>
      </c>
      <c r="P240" s="23">
        <v>1</v>
      </c>
      <c r="Q240" s="3"/>
      <c r="R240" s="3"/>
      <c r="S240" s="3"/>
      <c r="T240" s="3"/>
      <c r="U240" s="3"/>
      <c r="V240" s="23"/>
      <c r="W240" s="3"/>
      <c r="X240" s="3"/>
      <c r="Y240" s="17"/>
      <c r="Z240" s="17"/>
      <c r="AA240" s="3"/>
      <c r="AB240" s="3"/>
      <c r="AC240" s="3"/>
      <c r="AD240" s="3"/>
      <c r="AE240" s="3">
        <f t="shared" si="381"/>
        <v>6.5</v>
      </c>
      <c r="AF240" s="3"/>
      <c r="AG240" s="3"/>
      <c r="AH240" s="3">
        <v>0.2</v>
      </c>
      <c r="AI240" s="3">
        <f t="shared" si="380"/>
        <v>0.24</v>
      </c>
      <c r="AJ240" s="3">
        <f t="shared" si="382"/>
        <v>2.6</v>
      </c>
      <c r="AK240" s="12">
        <f t="shared" ref="AK240:AK530" si="384">IF(((M240*N240)-Q240-R240-S240+T240+U240)=0,"",((M240*N240)-Q240-R240-S240+T240+U240))</f>
        <v>13.780000000000001</v>
      </c>
      <c r="AL240" s="12">
        <f t="shared" ref="AL240:AL530" si="385">IF(PRODUCT(P240,AK240)=0,"",P240*AK240)</f>
        <v>13.780000000000001</v>
      </c>
      <c r="AM240" s="12">
        <f t="shared" ref="AM240:AM530" si="386">IF(PRODUCT(AK240,O240)=0,"",AK240*O240)</f>
        <v>3.3072000000000004</v>
      </c>
      <c r="AN240" s="12">
        <f t="shared" ref="AN240:AN530" si="387">IF(PRODUCT(AM240,P240)=0,"",AM240*P240)</f>
        <v>3.3072000000000004</v>
      </c>
      <c r="AO240" s="12" t="str">
        <f t="shared" ref="AO240:AO530" si="388">IF(N240*V240-W240+X240=0,"",N240*V240-W240+X240)</f>
        <v/>
      </c>
      <c r="AP240" s="12">
        <f t="shared" ref="AP240:AP530" si="389">IF(PRODUCT(M240,P240)=0,"",M240*P240)</f>
        <v>6.5</v>
      </c>
      <c r="AQ240" s="12" t="str">
        <f t="shared" ref="AQ240:AQ530" si="390">IF(AA240+AB240=0,"",AA240+AB240)</f>
        <v/>
      </c>
      <c r="AR240" s="12" t="str">
        <f t="shared" ref="AR240:AR530" si="391">IF(AC240+AD240=0,"",AC240+AD240)</f>
        <v/>
      </c>
      <c r="AS240" s="12">
        <f t="shared" si="383"/>
        <v>0.312</v>
      </c>
      <c r="AT240" s="12">
        <f t="shared" si="379"/>
        <v>2.6</v>
      </c>
      <c r="AU240" s="12" t="str">
        <f t="shared" si="166"/>
        <v/>
      </c>
      <c r="AV240" s="17"/>
      <c r="AX240" s="4"/>
    </row>
    <row r="241" spans="1:50" x14ac:dyDescent="0.25">
      <c r="A241" s="43" t="s">
        <v>276</v>
      </c>
      <c r="B241" s="52"/>
      <c r="C241" s="44"/>
      <c r="D241" s="43"/>
      <c r="E241" s="52"/>
      <c r="F241" s="46"/>
      <c r="G241" s="76" t="s">
        <v>312</v>
      </c>
      <c r="H241" s="48" t="s">
        <v>341</v>
      </c>
      <c r="I241" s="48"/>
      <c r="J241" s="84"/>
      <c r="K241" s="85"/>
      <c r="L241" s="47"/>
      <c r="M241" s="3">
        <f>1.58-0.24+1.58+2.635</f>
        <v>5.5549999999999997</v>
      </c>
      <c r="N241" s="3">
        <f>6.25-4.13</f>
        <v>2.12</v>
      </c>
      <c r="O241" s="22">
        <v>0.24</v>
      </c>
      <c r="P241" s="23">
        <v>1</v>
      </c>
      <c r="Q241" s="3"/>
      <c r="R241" s="3"/>
      <c r="S241" s="3"/>
      <c r="T241" s="3"/>
      <c r="U241" s="3"/>
      <c r="V241" s="23"/>
      <c r="W241" s="3"/>
      <c r="X241" s="3"/>
      <c r="Y241" s="17"/>
      <c r="Z241" s="17"/>
      <c r="AA241" s="3"/>
      <c r="AB241" s="3"/>
      <c r="AC241" s="3"/>
      <c r="AD241" s="3"/>
      <c r="AE241" s="3">
        <f t="shared" si="381"/>
        <v>5.5549999999999997</v>
      </c>
      <c r="AF241" s="3"/>
      <c r="AG241" s="3"/>
      <c r="AH241" s="3">
        <v>0.2</v>
      </c>
      <c r="AI241" s="3">
        <f t="shared" si="380"/>
        <v>0.24</v>
      </c>
      <c r="AJ241" s="3">
        <f t="shared" si="382"/>
        <v>2.222</v>
      </c>
      <c r="AK241" s="12">
        <f t="shared" si="384"/>
        <v>11.7766</v>
      </c>
      <c r="AL241" s="12">
        <f t="shared" si="385"/>
        <v>11.7766</v>
      </c>
      <c r="AM241" s="12">
        <f t="shared" si="386"/>
        <v>2.826384</v>
      </c>
      <c r="AN241" s="12">
        <f t="shared" si="387"/>
        <v>2.826384</v>
      </c>
      <c r="AO241" s="12" t="str">
        <f t="shared" si="388"/>
        <v/>
      </c>
      <c r="AP241" s="12">
        <f t="shared" si="389"/>
        <v>5.5549999999999997</v>
      </c>
      <c r="AQ241" s="12" t="str">
        <f t="shared" si="390"/>
        <v/>
      </c>
      <c r="AR241" s="12" t="str">
        <f t="shared" si="391"/>
        <v/>
      </c>
      <c r="AS241" s="12">
        <f t="shared" si="383"/>
        <v>0.26663999999999999</v>
      </c>
      <c r="AT241" s="12">
        <f t="shared" si="379"/>
        <v>2.222</v>
      </c>
      <c r="AU241" s="12" t="str">
        <f t="shared" si="166"/>
        <v/>
      </c>
      <c r="AV241" s="17"/>
      <c r="AX241" s="4"/>
    </row>
    <row r="242" spans="1:50" x14ac:dyDescent="0.25">
      <c r="A242" s="43" t="s">
        <v>276</v>
      </c>
      <c r="B242" s="52"/>
      <c r="C242" s="44"/>
      <c r="D242" s="43"/>
      <c r="E242" s="52"/>
      <c r="F242" s="46"/>
      <c r="G242" s="76" t="s">
        <v>313</v>
      </c>
      <c r="H242" s="48" t="s">
        <v>341</v>
      </c>
      <c r="I242" s="48"/>
      <c r="J242" s="84"/>
      <c r="K242" s="85"/>
      <c r="L242" s="47"/>
      <c r="M242" s="3">
        <f>2.685-0.24</f>
        <v>2.4450000000000003</v>
      </c>
      <c r="N242" s="3">
        <f>6.25-3.55</f>
        <v>2.7</v>
      </c>
      <c r="O242" s="22">
        <v>0.24</v>
      </c>
      <c r="P242" s="23">
        <v>1</v>
      </c>
      <c r="Q242" s="3"/>
      <c r="R242" s="3"/>
      <c r="S242" s="3"/>
      <c r="T242" s="3"/>
      <c r="U242" s="3"/>
      <c r="V242" s="23"/>
      <c r="W242" s="3"/>
      <c r="X242" s="3"/>
      <c r="Y242" s="17"/>
      <c r="Z242" s="17"/>
      <c r="AA242" s="3"/>
      <c r="AB242" s="3"/>
      <c r="AC242" s="3"/>
      <c r="AD242" s="3"/>
      <c r="AE242" s="3">
        <f t="shared" si="381"/>
        <v>2.4450000000000003</v>
      </c>
      <c r="AF242" s="3"/>
      <c r="AG242" s="3"/>
      <c r="AH242" s="3">
        <v>0.2</v>
      </c>
      <c r="AI242" s="3">
        <f t="shared" si="380"/>
        <v>0.24</v>
      </c>
      <c r="AJ242" s="3">
        <f t="shared" si="382"/>
        <v>0.9780000000000002</v>
      </c>
      <c r="AK242" s="12">
        <f t="shared" si="384"/>
        <v>6.6015000000000015</v>
      </c>
      <c r="AL242" s="12">
        <f t="shared" si="385"/>
        <v>6.6015000000000015</v>
      </c>
      <c r="AM242" s="12">
        <f t="shared" si="386"/>
        <v>1.5843600000000002</v>
      </c>
      <c r="AN242" s="12">
        <f t="shared" si="387"/>
        <v>1.5843600000000002</v>
      </c>
      <c r="AO242" s="12" t="str">
        <f t="shared" si="388"/>
        <v/>
      </c>
      <c r="AP242" s="12">
        <f t="shared" si="389"/>
        <v>2.4450000000000003</v>
      </c>
      <c r="AQ242" s="12" t="str">
        <f t="shared" si="390"/>
        <v/>
      </c>
      <c r="AR242" s="12" t="str">
        <f t="shared" si="391"/>
        <v/>
      </c>
      <c r="AS242" s="12">
        <f t="shared" si="383"/>
        <v>0.11736000000000002</v>
      </c>
      <c r="AT242" s="12">
        <f t="shared" si="379"/>
        <v>0.9780000000000002</v>
      </c>
      <c r="AU242" s="12" t="str">
        <f t="shared" si="166"/>
        <v/>
      </c>
      <c r="AV242" s="17"/>
      <c r="AX242" s="4"/>
    </row>
    <row r="243" spans="1:50" x14ac:dyDescent="0.25">
      <c r="A243" s="43" t="s">
        <v>276</v>
      </c>
      <c r="B243" s="52"/>
      <c r="C243" s="44"/>
      <c r="D243" s="43"/>
      <c r="E243" s="52"/>
      <c r="F243" s="46"/>
      <c r="G243" s="76" t="s">
        <v>314</v>
      </c>
      <c r="H243" s="48" t="s">
        <v>341</v>
      </c>
      <c r="I243" s="48"/>
      <c r="J243" s="84"/>
      <c r="K243" s="85"/>
      <c r="L243" s="47"/>
      <c r="M243" s="3">
        <v>6.9</v>
      </c>
      <c r="N243" s="3">
        <f>6.2-3.55</f>
        <v>2.6500000000000004</v>
      </c>
      <c r="O243" s="22">
        <v>0.24</v>
      </c>
      <c r="P243" s="23">
        <v>1</v>
      </c>
      <c r="Q243" s="3"/>
      <c r="R243" s="3"/>
      <c r="S243" s="3"/>
      <c r="T243" s="3"/>
      <c r="U243" s="3"/>
      <c r="V243" s="23"/>
      <c r="W243" s="3"/>
      <c r="X243" s="3"/>
      <c r="Y243" s="17"/>
      <c r="Z243" s="17"/>
      <c r="AA243" s="3"/>
      <c r="AB243" s="3"/>
      <c r="AC243" s="3"/>
      <c r="AD243" s="3"/>
      <c r="AE243" s="3">
        <f t="shared" si="381"/>
        <v>6.9</v>
      </c>
      <c r="AF243" s="3"/>
      <c r="AG243" s="3"/>
      <c r="AH243" s="3">
        <v>0.2</v>
      </c>
      <c r="AI243" s="3">
        <f t="shared" si="380"/>
        <v>0.24</v>
      </c>
      <c r="AJ243" s="3">
        <f t="shared" si="382"/>
        <v>2.7600000000000002</v>
      </c>
      <c r="AK243" s="12">
        <f t="shared" si="384"/>
        <v>18.285000000000004</v>
      </c>
      <c r="AL243" s="12">
        <f t="shared" si="385"/>
        <v>18.285000000000004</v>
      </c>
      <c r="AM243" s="12">
        <f t="shared" si="386"/>
        <v>4.3884000000000007</v>
      </c>
      <c r="AN243" s="12">
        <f t="shared" si="387"/>
        <v>4.3884000000000007</v>
      </c>
      <c r="AO243" s="12" t="str">
        <f t="shared" si="388"/>
        <v/>
      </c>
      <c r="AP243" s="12">
        <f t="shared" si="389"/>
        <v>6.9</v>
      </c>
      <c r="AQ243" s="12" t="str">
        <f t="shared" si="390"/>
        <v/>
      </c>
      <c r="AR243" s="12" t="str">
        <f t="shared" si="391"/>
        <v/>
      </c>
      <c r="AS243" s="12">
        <f t="shared" si="383"/>
        <v>0.33119999999999999</v>
      </c>
      <c r="AT243" s="12">
        <f t="shared" si="379"/>
        <v>2.7600000000000002</v>
      </c>
      <c r="AU243" s="12" t="str">
        <f t="shared" si="166"/>
        <v/>
      </c>
      <c r="AV243" s="17"/>
      <c r="AX243" s="4"/>
    </row>
    <row r="244" spans="1:50" x14ac:dyDescent="0.25">
      <c r="A244" s="43" t="s">
        <v>276</v>
      </c>
      <c r="B244" s="52"/>
      <c r="C244" s="44"/>
      <c r="D244" s="43"/>
      <c r="E244" s="52"/>
      <c r="F244" s="46"/>
      <c r="G244" s="76" t="s">
        <v>315</v>
      </c>
      <c r="H244" s="48" t="s">
        <v>341</v>
      </c>
      <c r="I244" s="48"/>
      <c r="J244" s="84"/>
      <c r="K244" s="85"/>
      <c r="L244" s="47"/>
      <c r="M244" s="3">
        <f>1.19+2.13*2+2.58+1.23+1.49</f>
        <v>10.75</v>
      </c>
      <c r="N244" s="3">
        <f>6.25-4.13</f>
        <v>2.12</v>
      </c>
      <c r="O244" s="22">
        <v>0.24</v>
      </c>
      <c r="P244" s="23">
        <v>1</v>
      </c>
      <c r="Q244" s="3"/>
      <c r="R244" s="3"/>
      <c r="S244" s="3"/>
      <c r="T244" s="3"/>
      <c r="U244" s="3"/>
      <c r="V244" s="23"/>
      <c r="W244" s="3"/>
      <c r="X244" s="3"/>
      <c r="Y244" s="17"/>
      <c r="Z244" s="17"/>
      <c r="AA244" s="3"/>
      <c r="AB244" s="3"/>
      <c r="AC244" s="3"/>
      <c r="AD244" s="3"/>
      <c r="AE244" s="3">
        <f t="shared" si="381"/>
        <v>10.75</v>
      </c>
      <c r="AF244" s="3"/>
      <c r="AG244" s="3"/>
      <c r="AH244" s="3">
        <v>0.2</v>
      </c>
      <c r="AI244" s="3">
        <f t="shared" si="380"/>
        <v>0.24</v>
      </c>
      <c r="AJ244" s="3">
        <f t="shared" si="382"/>
        <v>4.3</v>
      </c>
      <c r="AK244" s="12">
        <f t="shared" si="384"/>
        <v>22.790000000000003</v>
      </c>
      <c r="AL244" s="12">
        <f t="shared" si="385"/>
        <v>22.790000000000003</v>
      </c>
      <c r="AM244" s="12">
        <f t="shared" si="386"/>
        <v>5.4696000000000007</v>
      </c>
      <c r="AN244" s="12">
        <f t="shared" si="387"/>
        <v>5.4696000000000007</v>
      </c>
      <c r="AO244" s="12" t="str">
        <f t="shared" si="388"/>
        <v/>
      </c>
      <c r="AP244" s="12">
        <f t="shared" si="389"/>
        <v>10.75</v>
      </c>
      <c r="AQ244" s="12" t="str">
        <f t="shared" si="390"/>
        <v/>
      </c>
      <c r="AR244" s="12" t="str">
        <f t="shared" si="391"/>
        <v/>
      </c>
      <c r="AS244" s="12">
        <f t="shared" si="383"/>
        <v>0.51600000000000001</v>
      </c>
      <c r="AT244" s="12">
        <f t="shared" si="379"/>
        <v>4.3</v>
      </c>
      <c r="AU244" s="12" t="str">
        <f t="shared" si="166"/>
        <v/>
      </c>
      <c r="AV244" s="17"/>
      <c r="AX244" s="4"/>
    </row>
    <row r="245" spans="1:50" x14ac:dyDescent="0.25">
      <c r="A245" s="43" t="s">
        <v>276</v>
      </c>
      <c r="B245" s="52"/>
      <c r="C245" s="44"/>
      <c r="D245" s="43"/>
      <c r="E245" s="52"/>
      <c r="F245" s="46"/>
      <c r="G245" s="76" t="s">
        <v>316</v>
      </c>
      <c r="H245" s="48" t="s">
        <v>341</v>
      </c>
      <c r="I245" s="48"/>
      <c r="J245" s="84"/>
      <c r="K245" s="85"/>
      <c r="L245" s="47"/>
      <c r="M245" s="3">
        <f>3.49-0.24+3.23+1.48</f>
        <v>7.9600000000000009</v>
      </c>
      <c r="N245" s="3">
        <f>6.25-3.55</f>
        <v>2.7</v>
      </c>
      <c r="O245" s="22">
        <v>0.24</v>
      </c>
      <c r="P245" s="23">
        <v>1</v>
      </c>
      <c r="Q245" s="3"/>
      <c r="R245" s="3"/>
      <c r="S245" s="3"/>
      <c r="T245" s="3"/>
      <c r="U245" s="3"/>
      <c r="V245" s="23"/>
      <c r="W245" s="3"/>
      <c r="X245" s="3"/>
      <c r="Y245" s="17"/>
      <c r="Z245" s="17"/>
      <c r="AA245" s="3"/>
      <c r="AB245" s="3"/>
      <c r="AC245" s="3"/>
      <c r="AD245" s="3"/>
      <c r="AE245" s="3">
        <f t="shared" si="381"/>
        <v>7.9600000000000009</v>
      </c>
      <c r="AF245" s="3"/>
      <c r="AG245" s="3"/>
      <c r="AH245" s="3">
        <v>0.2</v>
      </c>
      <c r="AI245" s="3">
        <f t="shared" si="380"/>
        <v>0.24</v>
      </c>
      <c r="AJ245" s="3">
        <f t="shared" si="382"/>
        <v>3.1840000000000006</v>
      </c>
      <c r="AK245" s="12">
        <f t="shared" si="384"/>
        <v>21.492000000000004</v>
      </c>
      <c r="AL245" s="12">
        <f t="shared" si="385"/>
        <v>21.492000000000004</v>
      </c>
      <c r="AM245" s="12">
        <f t="shared" si="386"/>
        <v>5.1580800000000009</v>
      </c>
      <c r="AN245" s="12">
        <f t="shared" si="387"/>
        <v>5.1580800000000009</v>
      </c>
      <c r="AO245" s="12" t="str">
        <f t="shared" si="388"/>
        <v/>
      </c>
      <c r="AP245" s="12">
        <f t="shared" si="389"/>
        <v>7.9600000000000009</v>
      </c>
      <c r="AQ245" s="12" t="str">
        <f t="shared" si="390"/>
        <v/>
      </c>
      <c r="AR245" s="12" t="str">
        <f t="shared" si="391"/>
        <v/>
      </c>
      <c r="AS245" s="12">
        <f t="shared" si="383"/>
        <v>0.38208000000000009</v>
      </c>
      <c r="AT245" s="12">
        <f t="shared" si="379"/>
        <v>3.1840000000000006</v>
      </c>
      <c r="AU245" s="12" t="str">
        <f t="shared" si="166"/>
        <v/>
      </c>
      <c r="AV245" s="17"/>
      <c r="AX245" s="4"/>
    </row>
    <row r="246" spans="1:50" x14ac:dyDescent="0.25">
      <c r="A246" s="43" t="s">
        <v>276</v>
      </c>
      <c r="B246" s="52"/>
      <c r="C246" s="44"/>
      <c r="D246" s="43"/>
      <c r="E246" s="52"/>
      <c r="F246" s="46"/>
      <c r="G246" s="76"/>
      <c r="H246" s="48" t="s">
        <v>361</v>
      </c>
      <c r="I246" s="48"/>
      <c r="J246" s="84"/>
      <c r="K246" s="85"/>
      <c r="L246" s="47" t="s">
        <v>332</v>
      </c>
      <c r="M246" s="3">
        <v>2.12</v>
      </c>
      <c r="N246" s="3">
        <f>4.13-3.55</f>
        <v>0.58000000000000007</v>
      </c>
      <c r="O246" s="22">
        <v>0.17</v>
      </c>
      <c r="P246" s="23">
        <v>1</v>
      </c>
      <c r="Q246" s="3"/>
      <c r="R246" s="3"/>
      <c r="S246" s="3"/>
      <c r="T246" s="3"/>
      <c r="U246" s="3"/>
      <c r="V246" s="23"/>
      <c r="W246" s="3"/>
      <c r="X246" s="3"/>
      <c r="Y246" s="17"/>
      <c r="Z246" s="17"/>
      <c r="AA246" s="3"/>
      <c r="AB246" s="3"/>
      <c r="AC246" s="3"/>
      <c r="AD246" s="3"/>
      <c r="AE246" s="3"/>
      <c r="AF246" s="3"/>
      <c r="AG246" s="3"/>
      <c r="AH246" s="3"/>
      <c r="AI246" s="3"/>
      <c r="AJ246" s="3">
        <f t="shared" si="382"/>
        <v>0</v>
      </c>
      <c r="AK246" s="12">
        <f t="shared" si="384"/>
        <v>1.2296000000000002</v>
      </c>
      <c r="AL246" s="12">
        <f t="shared" si="385"/>
        <v>1.2296000000000002</v>
      </c>
      <c r="AM246" s="12">
        <f t="shared" si="386"/>
        <v>0.20903200000000005</v>
      </c>
      <c r="AN246" s="12">
        <f t="shared" si="387"/>
        <v>0.20903200000000005</v>
      </c>
      <c r="AO246" s="12" t="str">
        <f t="shared" si="388"/>
        <v/>
      </c>
      <c r="AP246" s="12">
        <f t="shared" si="389"/>
        <v>2.12</v>
      </c>
      <c r="AQ246" s="12" t="str">
        <f t="shared" si="390"/>
        <v/>
      </c>
      <c r="AR246" s="12" t="str">
        <f t="shared" si="391"/>
        <v/>
      </c>
      <c r="AS246" s="12" t="str">
        <f t="shared" si="383"/>
        <v/>
      </c>
      <c r="AT246" s="12" t="str">
        <f t="shared" si="379"/>
        <v/>
      </c>
      <c r="AU246" s="12" t="str">
        <f t="shared" si="166"/>
        <v/>
      </c>
      <c r="AV246" s="17"/>
      <c r="AX246" s="4"/>
    </row>
    <row r="247" spans="1:50" x14ac:dyDescent="0.25">
      <c r="A247" s="43" t="s">
        <v>276</v>
      </c>
      <c r="B247" s="52"/>
      <c r="C247" s="44"/>
      <c r="D247" s="43"/>
      <c r="E247" s="52"/>
      <c r="F247" s="46"/>
      <c r="G247" s="76" t="s">
        <v>317</v>
      </c>
      <c r="H247" s="48" t="s">
        <v>341</v>
      </c>
      <c r="I247" s="48"/>
      <c r="J247" s="84"/>
      <c r="K247" s="85"/>
      <c r="L247" s="47"/>
      <c r="M247" s="3">
        <f>1.48+3.14+2.58-0.24</f>
        <v>6.96</v>
      </c>
      <c r="N247" s="3">
        <f>6.25-3.5</f>
        <v>2.75</v>
      </c>
      <c r="O247" s="22">
        <v>0.24</v>
      </c>
      <c r="P247" s="23">
        <v>1</v>
      </c>
      <c r="Q247" s="3"/>
      <c r="R247" s="3"/>
      <c r="S247" s="3"/>
      <c r="T247" s="3"/>
      <c r="U247" s="3"/>
      <c r="V247" s="23"/>
      <c r="W247" s="3"/>
      <c r="X247" s="3"/>
      <c r="Y247" s="17"/>
      <c r="Z247" s="17"/>
      <c r="AA247" s="3"/>
      <c r="AB247" s="3"/>
      <c r="AC247" s="3"/>
      <c r="AD247" s="3"/>
      <c r="AE247" s="3">
        <f t="shared" si="381"/>
        <v>6.96</v>
      </c>
      <c r="AF247" s="3"/>
      <c r="AG247" s="3"/>
      <c r="AH247" s="3">
        <v>0.2</v>
      </c>
      <c r="AI247" s="3">
        <f>O247</f>
        <v>0.24</v>
      </c>
      <c r="AJ247" s="3">
        <f t="shared" si="382"/>
        <v>2.7840000000000003</v>
      </c>
      <c r="AK247" s="12">
        <f t="shared" si="384"/>
        <v>19.14</v>
      </c>
      <c r="AL247" s="12">
        <f t="shared" si="385"/>
        <v>19.14</v>
      </c>
      <c r="AM247" s="12">
        <f t="shared" si="386"/>
        <v>4.5936000000000003</v>
      </c>
      <c r="AN247" s="12">
        <f t="shared" si="387"/>
        <v>4.5936000000000003</v>
      </c>
      <c r="AO247" s="12" t="str">
        <f t="shared" si="388"/>
        <v/>
      </c>
      <c r="AP247" s="12">
        <f t="shared" si="389"/>
        <v>6.96</v>
      </c>
      <c r="AQ247" s="12" t="str">
        <f t="shared" si="390"/>
        <v/>
      </c>
      <c r="AR247" s="12" t="str">
        <f t="shared" si="391"/>
        <v/>
      </c>
      <c r="AS247" s="12">
        <f t="shared" si="383"/>
        <v>0.33408000000000004</v>
      </c>
      <c r="AT247" s="12">
        <f t="shared" si="379"/>
        <v>2.7840000000000003</v>
      </c>
      <c r="AU247" s="12" t="str">
        <f t="shared" si="166"/>
        <v/>
      </c>
      <c r="AV247" s="17"/>
      <c r="AX247" s="4"/>
    </row>
    <row r="248" spans="1:50" x14ac:dyDescent="0.25">
      <c r="A248" s="43" t="s">
        <v>276</v>
      </c>
      <c r="B248" s="52"/>
      <c r="C248" s="44"/>
      <c r="D248" s="43"/>
      <c r="E248" s="52"/>
      <c r="F248" s="46"/>
      <c r="G248" s="76"/>
      <c r="H248" s="48" t="s">
        <v>361</v>
      </c>
      <c r="I248" s="48"/>
      <c r="J248" s="84"/>
      <c r="K248" s="85"/>
      <c r="L248" s="47" t="s">
        <v>332</v>
      </c>
      <c r="M248" s="3">
        <v>2.12</v>
      </c>
      <c r="N248" s="3">
        <f>4.13-3.5</f>
        <v>0.62999999999999989</v>
      </c>
      <c r="O248" s="22">
        <v>0.17</v>
      </c>
      <c r="P248" s="23">
        <v>1</v>
      </c>
      <c r="Q248" s="3"/>
      <c r="R248" s="3"/>
      <c r="S248" s="3"/>
      <c r="T248" s="3"/>
      <c r="U248" s="3"/>
      <c r="V248" s="23"/>
      <c r="W248" s="3"/>
      <c r="X248" s="3"/>
      <c r="Y248" s="17"/>
      <c r="Z248" s="17"/>
      <c r="AA248" s="3"/>
      <c r="AB248" s="3"/>
      <c r="AC248" s="3"/>
      <c r="AD248" s="3"/>
      <c r="AE248" s="3"/>
      <c r="AF248" s="3"/>
      <c r="AG248" s="3"/>
      <c r="AH248" s="3"/>
      <c r="AI248" s="3"/>
      <c r="AJ248" s="3">
        <f t="shared" si="382"/>
        <v>0</v>
      </c>
      <c r="AK248" s="12">
        <f t="shared" si="384"/>
        <v>1.3355999999999999</v>
      </c>
      <c r="AL248" s="12">
        <f t="shared" si="385"/>
        <v>1.3355999999999999</v>
      </c>
      <c r="AM248" s="12">
        <f t="shared" si="386"/>
        <v>0.227052</v>
      </c>
      <c r="AN248" s="12">
        <f t="shared" si="387"/>
        <v>0.227052</v>
      </c>
      <c r="AO248" s="12" t="str">
        <f t="shared" si="388"/>
        <v/>
      </c>
      <c r="AP248" s="12">
        <f t="shared" si="389"/>
        <v>2.12</v>
      </c>
      <c r="AQ248" s="12" t="str">
        <f t="shared" si="390"/>
        <v/>
      </c>
      <c r="AR248" s="12" t="str">
        <f t="shared" si="391"/>
        <v/>
      </c>
      <c r="AS248" s="12" t="str">
        <f t="shared" si="383"/>
        <v/>
      </c>
      <c r="AT248" s="12" t="str">
        <f t="shared" si="379"/>
        <v/>
      </c>
      <c r="AU248" s="12" t="str">
        <f t="shared" si="166"/>
        <v/>
      </c>
      <c r="AV248" s="17"/>
      <c r="AX248" s="4"/>
    </row>
    <row r="249" spans="1:50" x14ac:dyDescent="0.25">
      <c r="A249" s="43" t="s">
        <v>276</v>
      </c>
      <c r="B249" s="52"/>
      <c r="C249" s="44"/>
      <c r="D249" s="43"/>
      <c r="E249" s="52"/>
      <c r="F249" s="46"/>
      <c r="G249" s="76" t="s">
        <v>318</v>
      </c>
      <c r="H249" s="48" t="s">
        <v>341</v>
      </c>
      <c r="I249" s="48"/>
      <c r="J249" s="84"/>
      <c r="K249" s="85"/>
      <c r="L249" s="47"/>
      <c r="M249" s="3">
        <f>2.34+2.13*6+1.175+2.935+2.49</f>
        <v>21.72</v>
      </c>
      <c r="N249" s="3">
        <f>6.25-3.5</f>
        <v>2.75</v>
      </c>
      <c r="O249" s="22">
        <v>0.24</v>
      </c>
      <c r="P249" s="23">
        <v>1</v>
      </c>
      <c r="Q249" s="3"/>
      <c r="R249" s="3"/>
      <c r="S249" s="3"/>
      <c r="T249" s="3"/>
      <c r="U249" s="3"/>
      <c r="V249" s="23"/>
      <c r="W249" s="3"/>
      <c r="X249" s="3"/>
      <c r="Y249" s="17"/>
      <c r="Z249" s="17"/>
      <c r="AA249" s="3"/>
      <c r="AB249" s="3"/>
      <c r="AC249" s="3"/>
      <c r="AD249" s="3"/>
      <c r="AE249" s="3">
        <f t="shared" si="381"/>
        <v>21.72</v>
      </c>
      <c r="AF249" s="3"/>
      <c r="AG249" s="3"/>
      <c r="AH249" s="3">
        <v>0.2</v>
      </c>
      <c r="AI249" s="3">
        <f>O249</f>
        <v>0.24</v>
      </c>
      <c r="AJ249" s="3">
        <f t="shared" si="382"/>
        <v>8.6880000000000006</v>
      </c>
      <c r="AK249" s="12">
        <f t="shared" si="384"/>
        <v>59.73</v>
      </c>
      <c r="AL249" s="12">
        <f t="shared" si="385"/>
        <v>59.73</v>
      </c>
      <c r="AM249" s="12">
        <f t="shared" si="386"/>
        <v>14.335199999999999</v>
      </c>
      <c r="AN249" s="12">
        <f t="shared" si="387"/>
        <v>14.335199999999999</v>
      </c>
      <c r="AO249" s="12" t="str">
        <f t="shared" si="388"/>
        <v/>
      </c>
      <c r="AP249" s="12">
        <f t="shared" si="389"/>
        <v>21.72</v>
      </c>
      <c r="AQ249" s="12" t="str">
        <f t="shared" si="390"/>
        <v/>
      </c>
      <c r="AR249" s="12" t="str">
        <f t="shared" si="391"/>
        <v/>
      </c>
      <c r="AS249" s="12">
        <f t="shared" si="383"/>
        <v>1.0425599999999999</v>
      </c>
      <c r="AT249" s="12">
        <f t="shared" si="379"/>
        <v>8.6880000000000006</v>
      </c>
      <c r="AU249" s="12" t="str">
        <f t="shared" si="166"/>
        <v/>
      </c>
      <c r="AV249" s="17"/>
      <c r="AX249" s="4"/>
    </row>
    <row r="250" spans="1:50" x14ac:dyDescent="0.25">
      <c r="A250" s="43" t="s">
        <v>276</v>
      </c>
      <c r="B250" s="52"/>
      <c r="C250" s="44"/>
      <c r="D250" s="43"/>
      <c r="E250" s="52"/>
      <c r="F250" s="46"/>
      <c r="G250" s="76"/>
      <c r="H250" s="48" t="s">
        <v>361</v>
      </c>
      <c r="I250" s="48"/>
      <c r="J250" s="84"/>
      <c r="K250" s="85"/>
      <c r="L250" s="47" t="s">
        <v>332</v>
      </c>
      <c r="M250" s="3">
        <f>2.12*7</f>
        <v>14.84</v>
      </c>
      <c r="N250" s="3">
        <f>4.13-3.5</f>
        <v>0.62999999999999989</v>
      </c>
      <c r="O250" s="22">
        <v>0.17</v>
      </c>
      <c r="P250" s="23">
        <v>1</v>
      </c>
      <c r="Q250" s="3"/>
      <c r="R250" s="3"/>
      <c r="S250" s="3"/>
      <c r="T250" s="3"/>
      <c r="U250" s="3"/>
      <c r="V250" s="23"/>
      <c r="W250" s="3"/>
      <c r="X250" s="3"/>
      <c r="Y250" s="17"/>
      <c r="Z250" s="17"/>
      <c r="AA250" s="3"/>
      <c r="AB250" s="3"/>
      <c r="AC250" s="3"/>
      <c r="AD250" s="3"/>
      <c r="AE250" s="3"/>
      <c r="AF250" s="3"/>
      <c r="AG250" s="3"/>
      <c r="AH250" s="3"/>
      <c r="AI250" s="3"/>
      <c r="AJ250" s="3">
        <f t="shared" si="382"/>
        <v>0</v>
      </c>
      <c r="AK250" s="12">
        <f t="shared" si="384"/>
        <v>9.349199999999998</v>
      </c>
      <c r="AL250" s="12">
        <f t="shared" si="385"/>
        <v>9.349199999999998</v>
      </c>
      <c r="AM250" s="12">
        <f t="shared" si="386"/>
        <v>1.5893639999999998</v>
      </c>
      <c r="AN250" s="12">
        <f t="shared" si="387"/>
        <v>1.5893639999999998</v>
      </c>
      <c r="AO250" s="12" t="str">
        <f t="shared" si="388"/>
        <v/>
      </c>
      <c r="AP250" s="12">
        <f t="shared" si="389"/>
        <v>14.84</v>
      </c>
      <c r="AQ250" s="12" t="str">
        <f t="shared" si="390"/>
        <v/>
      </c>
      <c r="AR250" s="12" t="str">
        <f t="shared" si="391"/>
        <v/>
      </c>
      <c r="AS250" s="12" t="str">
        <f t="shared" si="383"/>
        <v/>
      </c>
      <c r="AT250" s="12" t="str">
        <f t="shared" si="379"/>
        <v/>
      </c>
      <c r="AU250" s="12" t="str">
        <f t="shared" si="166"/>
        <v/>
      </c>
      <c r="AV250" s="17"/>
      <c r="AX250" s="4"/>
    </row>
    <row r="251" spans="1:50" x14ac:dyDescent="0.25">
      <c r="A251" s="43" t="s">
        <v>276</v>
      </c>
      <c r="B251" s="52"/>
      <c r="C251" s="44"/>
      <c r="D251" s="43"/>
      <c r="E251" s="52"/>
      <c r="F251" s="46"/>
      <c r="G251" s="76" t="s">
        <v>319</v>
      </c>
      <c r="H251" s="48" t="s">
        <v>341</v>
      </c>
      <c r="I251" s="48"/>
      <c r="J251" s="84"/>
      <c r="K251" s="85"/>
      <c r="L251" s="47"/>
      <c r="M251" s="3">
        <f>1.59-0.24+2.83+1.54</f>
        <v>5.72</v>
      </c>
      <c r="N251" s="3">
        <f>6.25-3.5</f>
        <v>2.75</v>
      </c>
      <c r="O251" s="22">
        <v>0.24</v>
      </c>
      <c r="P251" s="23">
        <v>1</v>
      </c>
      <c r="Q251" s="3"/>
      <c r="R251" s="3"/>
      <c r="S251" s="3"/>
      <c r="T251" s="3"/>
      <c r="U251" s="3"/>
      <c r="V251" s="23"/>
      <c r="W251" s="3"/>
      <c r="X251" s="3"/>
      <c r="Y251" s="17"/>
      <c r="Z251" s="17"/>
      <c r="AA251" s="3"/>
      <c r="AB251" s="3"/>
      <c r="AC251" s="3"/>
      <c r="AD251" s="3"/>
      <c r="AE251" s="3">
        <f t="shared" si="381"/>
        <v>5.72</v>
      </c>
      <c r="AF251" s="3"/>
      <c r="AG251" s="3"/>
      <c r="AH251" s="3">
        <v>0.2</v>
      </c>
      <c r="AI251" s="3">
        <f>O251</f>
        <v>0.24</v>
      </c>
      <c r="AJ251" s="3">
        <f t="shared" si="382"/>
        <v>2.2879999999999998</v>
      </c>
      <c r="AK251" s="12">
        <f t="shared" si="384"/>
        <v>15.729999999999999</v>
      </c>
      <c r="AL251" s="12">
        <f t="shared" si="385"/>
        <v>15.729999999999999</v>
      </c>
      <c r="AM251" s="12">
        <f t="shared" si="386"/>
        <v>3.7751999999999994</v>
      </c>
      <c r="AN251" s="12">
        <f t="shared" si="387"/>
        <v>3.7751999999999994</v>
      </c>
      <c r="AO251" s="12" t="str">
        <f t="shared" si="388"/>
        <v/>
      </c>
      <c r="AP251" s="12">
        <f t="shared" si="389"/>
        <v>5.72</v>
      </c>
      <c r="AQ251" s="12" t="str">
        <f t="shared" si="390"/>
        <v/>
      </c>
      <c r="AR251" s="12" t="str">
        <f t="shared" si="391"/>
        <v/>
      </c>
      <c r="AS251" s="12">
        <f t="shared" si="383"/>
        <v>0.27455999999999997</v>
      </c>
      <c r="AT251" s="12">
        <f t="shared" si="379"/>
        <v>2.2879999999999998</v>
      </c>
      <c r="AU251" s="12" t="str">
        <f t="shared" si="166"/>
        <v/>
      </c>
      <c r="AV251" s="17"/>
      <c r="AX251" s="4"/>
    </row>
    <row r="252" spans="1:50" x14ac:dyDescent="0.25">
      <c r="A252" s="43" t="s">
        <v>276</v>
      </c>
      <c r="B252" s="52"/>
      <c r="C252" s="44"/>
      <c r="D252" s="43"/>
      <c r="E252" s="52"/>
      <c r="F252" s="46"/>
      <c r="G252" s="76"/>
      <c r="H252" s="48" t="s">
        <v>361</v>
      </c>
      <c r="I252" s="48"/>
      <c r="J252" s="84"/>
      <c r="K252" s="85"/>
      <c r="L252" s="47" t="s">
        <v>332</v>
      </c>
      <c r="M252" s="3">
        <f>2.12*2</f>
        <v>4.24</v>
      </c>
      <c r="N252" s="3">
        <f>4.13-3.5</f>
        <v>0.62999999999999989</v>
      </c>
      <c r="O252" s="22">
        <v>0.17</v>
      </c>
      <c r="P252" s="23">
        <v>1</v>
      </c>
      <c r="Q252" s="3"/>
      <c r="R252" s="3"/>
      <c r="S252" s="3"/>
      <c r="T252" s="3"/>
      <c r="U252" s="3"/>
      <c r="V252" s="23"/>
      <c r="W252" s="3"/>
      <c r="X252" s="3"/>
      <c r="Y252" s="17"/>
      <c r="Z252" s="17"/>
      <c r="AA252" s="3"/>
      <c r="AB252" s="3"/>
      <c r="AC252" s="3"/>
      <c r="AD252" s="3"/>
      <c r="AE252" s="3"/>
      <c r="AF252" s="3"/>
      <c r="AG252" s="3"/>
      <c r="AH252" s="3"/>
      <c r="AI252" s="3"/>
      <c r="AJ252" s="3">
        <f t="shared" si="382"/>
        <v>0</v>
      </c>
      <c r="AK252" s="12">
        <f t="shared" si="384"/>
        <v>2.6711999999999998</v>
      </c>
      <c r="AL252" s="12">
        <f t="shared" si="385"/>
        <v>2.6711999999999998</v>
      </c>
      <c r="AM252" s="12">
        <f t="shared" si="386"/>
        <v>0.45410400000000001</v>
      </c>
      <c r="AN252" s="12">
        <f t="shared" si="387"/>
        <v>0.45410400000000001</v>
      </c>
      <c r="AO252" s="12" t="str">
        <f t="shared" si="388"/>
        <v/>
      </c>
      <c r="AP252" s="12">
        <f t="shared" si="389"/>
        <v>4.24</v>
      </c>
      <c r="AQ252" s="12" t="str">
        <f t="shared" si="390"/>
        <v/>
      </c>
      <c r="AR252" s="12" t="str">
        <f t="shared" si="391"/>
        <v/>
      </c>
      <c r="AS252" s="12" t="str">
        <f t="shared" si="383"/>
        <v/>
      </c>
      <c r="AT252" s="12" t="str">
        <f t="shared" si="379"/>
        <v/>
      </c>
      <c r="AU252" s="12" t="str">
        <f t="shared" si="166"/>
        <v/>
      </c>
      <c r="AV252" s="17"/>
      <c r="AX252" s="4"/>
    </row>
    <row r="253" spans="1:50" x14ac:dyDescent="0.25">
      <c r="A253" s="43" t="s">
        <v>276</v>
      </c>
      <c r="B253" s="52"/>
      <c r="C253" s="44"/>
      <c r="D253" s="43"/>
      <c r="E253" s="52"/>
      <c r="F253" s="46"/>
      <c r="G253" s="76" t="s">
        <v>320</v>
      </c>
      <c r="H253" s="48" t="s">
        <v>341</v>
      </c>
      <c r="I253" s="48"/>
      <c r="J253" s="84"/>
      <c r="K253" s="85"/>
      <c r="L253" s="47"/>
      <c r="M253" s="3">
        <v>5.6050000000000004</v>
      </c>
      <c r="N253" s="3">
        <f>6.2-3.5</f>
        <v>2.7</v>
      </c>
      <c r="O253" s="22">
        <v>0.24</v>
      </c>
      <c r="P253" s="23">
        <v>1</v>
      </c>
      <c r="Q253" s="3"/>
      <c r="R253" s="3"/>
      <c r="S253" s="3"/>
      <c r="T253" s="3"/>
      <c r="U253" s="3"/>
      <c r="V253" s="23"/>
      <c r="W253" s="3"/>
      <c r="X253" s="3"/>
      <c r="Y253" s="17"/>
      <c r="Z253" s="17"/>
      <c r="AA253" s="3"/>
      <c r="AB253" s="3"/>
      <c r="AC253" s="3"/>
      <c r="AD253" s="3"/>
      <c r="AE253" s="3">
        <f t="shared" si="381"/>
        <v>5.6050000000000004</v>
      </c>
      <c r="AF253" s="3"/>
      <c r="AG253" s="3"/>
      <c r="AH253" s="3">
        <v>0.2</v>
      </c>
      <c r="AI253" s="3">
        <f t="shared" ref="AI253:AI278" si="392">O253</f>
        <v>0.24</v>
      </c>
      <c r="AJ253" s="3">
        <f t="shared" si="382"/>
        <v>2.2420000000000004</v>
      </c>
      <c r="AK253" s="12">
        <f t="shared" si="384"/>
        <v>15.133500000000002</v>
      </c>
      <c r="AL253" s="12">
        <f t="shared" si="385"/>
        <v>15.133500000000002</v>
      </c>
      <c r="AM253" s="12">
        <f t="shared" si="386"/>
        <v>3.6320400000000004</v>
      </c>
      <c r="AN253" s="12">
        <f t="shared" si="387"/>
        <v>3.6320400000000004</v>
      </c>
      <c r="AO253" s="12" t="str">
        <f t="shared" si="388"/>
        <v/>
      </c>
      <c r="AP253" s="12">
        <f t="shared" si="389"/>
        <v>5.6050000000000004</v>
      </c>
      <c r="AQ253" s="12" t="str">
        <f t="shared" si="390"/>
        <v/>
      </c>
      <c r="AR253" s="12" t="str">
        <f t="shared" si="391"/>
        <v/>
      </c>
      <c r="AS253" s="12">
        <f t="shared" si="383"/>
        <v>0.26904000000000006</v>
      </c>
      <c r="AT253" s="12">
        <f t="shared" si="379"/>
        <v>2.2420000000000004</v>
      </c>
      <c r="AU253" s="12" t="str">
        <f t="shared" si="166"/>
        <v/>
      </c>
      <c r="AV253" s="17"/>
      <c r="AX253" s="4"/>
    </row>
    <row r="254" spans="1:50" x14ac:dyDescent="0.25">
      <c r="A254" s="43" t="s">
        <v>276</v>
      </c>
      <c r="B254" s="52"/>
      <c r="C254" s="44"/>
      <c r="D254" s="43"/>
      <c r="E254" s="52"/>
      <c r="F254" s="46"/>
      <c r="G254" s="76" t="s">
        <v>321</v>
      </c>
      <c r="H254" s="48" t="s">
        <v>341</v>
      </c>
      <c r="I254" s="48"/>
      <c r="J254" s="84"/>
      <c r="K254" s="85"/>
      <c r="L254" s="47"/>
      <c r="M254" s="3">
        <v>5.35</v>
      </c>
      <c r="N254" s="3">
        <f>6.45-3.3</f>
        <v>3.1500000000000004</v>
      </c>
      <c r="O254" s="22">
        <v>0.24</v>
      </c>
      <c r="P254" s="23">
        <v>1</v>
      </c>
      <c r="Q254" s="3"/>
      <c r="R254" s="3"/>
      <c r="S254" s="3"/>
      <c r="T254" s="3"/>
      <c r="U254" s="3"/>
      <c r="V254" s="23"/>
      <c r="W254" s="3"/>
      <c r="X254" s="3"/>
      <c r="Y254" s="17"/>
      <c r="Z254" s="17"/>
      <c r="AA254" s="3"/>
      <c r="AB254" s="3"/>
      <c r="AC254" s="3"/>
      <c r="AD254" s="3"/>
      <c r="AE254" s="3">
        <f t="shared" si="381"/>
        <v>5.35</v>
      </c>
      <c r="AF254" s="3"/>
      <c r="AG254" s="3"/>
      <c r="AH254" s="3">
        <v>0.2</v>
      </c>
      <c r="AI254" s="3">
        <f t="shared" si="392"/>
        <v>0.24</v>
      </c>
      <c r="AJ254" s="3">
        <f t="shared" si="382"/>
        <v>2.14</v>
      </c>
      <c r="AK254" s="12">
        <f t="shared" si="384"/>
        <v>16.852499999999999</v>
      </c>
      <c r="AL254" s="12">
        <f t="shared" si="385"/>
        <v>16.852499999999999</v>
      </c>
      <c r="AM254" s="12">
        <f t="shared" si="386"/>
        <v>4.0446</v>
      </c>
      <c r="AN254" s="12">
        <f t="shared" si="387"/>
        <v>4.0446</v>
      </c>
      <c r="AO254" s="12" t="str">
        <f t="shared" si="388"/>
        <v/>
      </c>
      <c r="AP254" s="12">
        <f t="shared" si="389"/>
        <v>5.35</v>
      </c>
      <c r="AQ254" s="12" t="str">
        <f t="shared" si="390"/>
        <v/>
      </c>
      <c r="AR254" s="12" t="str">
        <f t="shared" si="391"/>
        <v/>
      </c>
      <c r="AS254" s="12">
        <f t="shared" si="383"/>
        <v>0.25680000000000003</v>
      </c>
      <c r="AT254" s="12">
        <f t="shared" si="379"/>
        <v>2.14</v>
      </c>
      <c r="AU254" s="12" t="str">
        <f t="shared" si="166"/>
        <v/>
      </c>
      <c r="AV254" s="17"/>
      <c r="AX254" s="4"/>
    </row>
    <row r="255" spans="1:50" x14ac:dyDescent="0.25">
      <c r="A255" s="43" t="s">
        <v>276</v>
      </c>
      <c r="B255" s="52"/>
      <c r="C255" s="44"/>
      <c r="D255" s="43"/>
      <c r="E255" s="52"/>
      <c r="F255" s="46"/>
      <c r="G255" s="76" t="s">
        <v>322</v>
      </c>
      <c r="H255" s="48" t="s">
        <v>341</v>
      </c>
      <c r="I255" s="48"/>
      <c r="J255" s="84"/>
      <c r="K255" s="85"/>
      <c r="L255" s="47"/>
      <c r="M255" s="3">
        <f>1.2+0.1+1.2+0.2+0.68+0.82+0.2</f>
        <v>4.4000000000000004</v>
      </c>
      <c r="N255" s="3">
        <f>6.25-3.55</f>
        <v>2.7</v>
      </c>
      <c r="O255" s="22">
        <v>0.24</v>
      </c>
      <c r="P255" s="23">
        <v>1</v>
      </c>
      <c r="Q255" s="3"/>
      <c r="R255" s="3">
        <f>2.02*2.7</f>
        <v>5.4540000000000006</v>
      </c>
      <c r="S255" s="3"/>
      <c r="T255" s="3"/>
      <c r="U255" s="3"/>
      <c r="V255" s="23"/>
      <c r="W255" s="3"/>
      <c r="X255" s="3"/>
      <c r="Y255" s="17"/>
      <c r="Z255" s="17"/>
      <c r="AA255" s="3"/>
      <c r="AB255" s="3"/>
      <c r="AC255" s="3"/>
      <c r="AD255" s="3"/>
      <c r="AE255" s="3">
        <f t="shared" si="381"/>
        <v>4.4000000000000004</v>
      </c>
      <c r="AF255" s="3">
        <v>2.02</v>
      </c>
      <c r="AG255" s="3"/>
      <c r="AH255" s="3">
        <v>0.2</v>
      </c>
      <c r="AI255" s="3">
        <f t="shared" si="392"/>
        <v>0.24</v>
      </c>
      <c r="AJ255" s="3">
        <f t="shared" si="382"/>
        <v>0.95200000000000018</v>
      </c>
      <c r="AK255" s="12">
        <f t="shared" si="384"/>
        <v>6.4260000000000019</v>
      </c>
      <c r="AL255" s="12">
        <f t="shared" si="385"/>
        <v>6.4260000000000019</v>
      </c>
      <c r="AM255" s="12">
        <f t="shared" si="386"/>
        <v>1.5422400000000005</v>
      </c>
      <c r="AN255" s="12">
        <f t="shared" si="387"/>
        <v>1.5422400000000005</v>
      </c>
      <c r="AO255" s="12" t="str">
        <f t="shared" si="388"/>
        <v/>
      </c>
      <c r="AP255" s="12">
        <f t="shared" si="389"/>
        <v>4.4000000000000004</v>
      </c>
      <c r="AQ255" s="12" t="str">
        <f t="shared" si="390"/>
        <v/>
      </c>
      <c r="AR255" s="12" t="str">
        <f t="shared" si="391"/>
        <v/>
      </c>
      <c r="AS255" s="12">
        <f t="shared" si="383"/>
        <v>0.21120000000000003</v>
      </c>
      <c r="AT255" s="12">
        <f t="shared" si="379"/>
        <v>0.95200000000000018</v>
      </c>
      <c r="AU255" s="12" t="str">
        <f t="shared" si="166"/>
        <v/>
      </c>
      <c r="AV255" s="17"/>
      <c r="AX255" s="4"/>
    </row>
    <row r="256" spans="1:50" x14ac:dyDescent="0.25">
      <c r="A256" s="43" t="s">
        <v>276</v>
      </c>
      <c r="B256" s="52"/>
      <c r="C256" s="44"/>
      <c r="D256" s="43"/>
      <c r="E256" s="52"/>
      <c r="F256" s="46"/>
      <c r="G256" s="76"/>
      <c r="H256" s="48" t="s">
        <v>341</v>
      </c>
      <c r="I256" s="48"/>
      <c r="J256" s="84"/>
      <c r="K256" s="85"/>
      <c r="L256" s="47"/>
      <c r="M256" s="3">
        <f>0.2+1.07</f>
        <v>1.27</v>
      </c>
      <c r="N256" s="3">
        <f>6.2-3.55</f>
        <v>2.6500000000000004</v>
      </c>
      <c r="O256" s="22">
        <v>0.24</v>
      </c>
      <c r="P256" s="23">
        <v>1</v>
      </c>
      <c r="Q256" s="3"/>
      <c r="R256" s="3">
        <f>1.07*2.65</f>
        <v>2.8355000000000001</v>
      </c>
      <c r="S256" s="3"/>
      <c r="T256" s="3"/>
      <c r="U256" s="3"/>
      <c r="V256" s="23"/>
      <c r="W256" s="3"/>
      <c r="X256" s="3"/>
      <c r="Y256" s="17"/>
      <c r="Z256" s="17"/>
      <c r="AA256" s="3"/>
      <c r="AB256" s="3"/>
      <c r="AC256" s="3"/>
      <c r="AD256" s="3"/>
      <c r="AE256" s="3">
        <f t="shared" si="381"/>
        <v>1.27</v>
      </c>
      <c r="AF256" s="3">
        <v>1.07</v>
      </c>
      <c r="AG256" s="3"/>
      <c r="AH256" s="3">
        <v>0.2</v>
      </c>
      <c r="AI256" s="3">
        <f t="shared" si="392"/>
        <v>0.24</v>
      </c>
      <c r="AJ256" s="3">
        <f t="shared" si="382"/>
        <v>7.9999999999999988E-2</v>
      </c>
      <c r="AK256" s="12">
        <f t="shared" si="384"/>
        <v>0.53000000000000025</v>
      </c>
      <c r="AL256" s="12">
        <f t="shared" si="385"/>
        <v>0.53000000000000025</v>
      </c>
      <c r="AM256" s="12">
        <f t="shared" si="386"/>
        <v>0.12720000000000006</v>
      </c>
      <c r="AN256" s="12">
        <f t="shared" si="387"/>
        <v>0.12720000000000006</v>
      </c>
      <c r="AO256" s="12" t="str">
        <f t="shared" si="388"/>
        <v/>
      </c>
      <c r="AP256" s="12">
        <f t="shared" si="389"/>
        <v>1.27</v>
      </c>
      <c r="AQ256" s="12" t="str">
        <f t="shared" si="390"/>
        <v/>
      </c>
      <c r="AR256" s="12" t="str">
        <f t="shared" si="391"/>
        <v/>
      </c>
      <c r="AS256" s="12">
        <f t="shared" si="383"/>
        <v>6.096E-2</v>
      </c>
      <c r="AT256" s="12">
        <f t="shared" si="379"/>
        <v>7.9999999999999988E-2</v>
      </c>
      <c r="AU256" s="12" t="str">
        <f t="shared" si="166"/>
        <v/>
      </c>
      <c r="AV256" s="17"/>
      <c r="AX256" s="4"/>
    </row>
    <row r="257" spans="1:50" x14ac:dyDescent="0.25">
      <c r="A257" s="43" t="s">
        <v>276</v>
      </c>
      <c r="B257" s="52"/>
      <c r="C257" s="44"/>
      <c r="D257" s="43"/>
      <c r="E257" s="52"/>
      <c r="F257" s="46"/>
      <c r="G257" s="76" t="s">
        <v>362</v>
      </c>
      <c r="H257" s="48" t="s">
        <v>341</v>
      </c>
      <c r="I257" s="48"/>
      <c r="J257" s="84"/>
      <c r="K257" s="85"/>
      <c r="L257" s="47"/>
      <c r="M257" s="3">
        <v>4.8099999999999996</v>
      </c>
      <c r="N257" s="3">
        <f>6.25-3.35</f>
        <v>2.9</v>
      </c>
      <c r="O257" s="22">
        <v>0.24</v>
      </c>
      <c r="P257" s="23">
        <v>1</v>
      </c>
      <c r="Q257" s="3"/>
      <c r="R257" s="3"/>
      <c r="S257" s="3"/>
      <c r="T257" s="3"/>
      <c r="U257" s="3"/>
      <c r="V257" s="23"/>
      <c r="W257" s="3"/>
      <c r="X257" s="3"/>
      <c r="Y257" s="17"/>
      <c r="Z257" s="17"/>
      <c r="AA257" s="3"/>
      <c r="AB257" s="3"/>
      <c r="AC257" s="3"/>
      <c r="AD257" s="3"/>
      <c r="AE257" s="3">
        <f t="shared" si="381"/>
        <v>4.8099999999999996</v>
      </c>
      <c r="AF257" s="3"/>
      <c r="AG257" s="3"/>
      <c r="AH257" s="3">
        <v>0.2</v>
      </c>
      <c r="AI257" s="3">
        <f t="shared" si="392"/>
        <v>0.24</v>
      </c>
      <c r="AJ257" s="3">
        <f t="shared" si="382"/>
        <v>1.9239999999999999</v>
      </c>
      <c r="AK257" s="12">
        <f t="shared" ref="AK257" si="393">IF(((M257*N257)-Q257-R257-S257+T257+U257)=0,"",((M257*N257)-Q257-R257-S257+T257+U257))</f>
        <v>13.948999999999998</v>
      </c>
      <c r="AL257" s="12">
        <f t="shared" ref="AL257" si="394">IF(PRODUCT(P257,AK257)=0,"",P257*AK257)</f>
        <v>13.948999999999998</v>
      </c>
      <c r="AM257" s="12">
        <f t="shared" ref="AM257" si="395">IF(PRODUCT(AK257,O257)=0,"",AK257*O257)</f>
        <v>3.3477599999999996</v>
      </c>
      <c r="AN257" s="12">
        <f t="shared" ref="AN257" si="396">IF(PRODUCT(AM257,P257)=0,"",AM257*P257)</f>
        <v>3.3477599999999996</v>
      </c>
      <c r="AO257" s="12" t="str">
        <f t="shared" ref="AO257" si="397">IF(N257*V257-W257+X257=0,"",N257*V257-W257+X257)</f>
        <v/>
      </c>
      <c r="AP257" s="12">
        <f t="shared" ref="AP257" si="398">IF(PRODUCT(M257,P257)=0,"",M257*P257)</f>
        <v>4.8099999999999996</v>
      </c>
      <c r="AQ257" s="12" t="str">
        <f t="shared" ref="AQ257" si="399">IF(AA257+AB257=0,"",AA257+AB257)</f>
        <v/>
      </c>
      <c r="AR257" s="12" t="str">
        <f t="shared" ref="AR257" si="400">IF(AC257+AD257=0,"",AC257+AD257)</f>
        <v/>
      </c>
      <c r="AS257" s="12">
        <f t="shared" si="383"/>
        <v>0.23087999999999997</v>
      </c>
      <c r="AT257" s="12">
        <f t="shared" si="379"/>
        <v>1.9239999999999999</v>
      </c>
      <c r="AU257" s="12" t="str">
        <f t="shared" si="166"/>
        <v/>
      </c>
      <c r="AV257" s="17"/>
      <c r="AX257" s="4"/>
    </row>
    <row r="258" spans="1:50" x14ac:dyDescent="0.25">
      <c r="A258" s="43" t="s">
        <v>276</v>
      </c>
      <c r="B258" s="52"/>
      <c r="C258" s="44"/>
      <c r="D258" s="43"/>
      <c r="E258" s="52"/>
      <c r="F258" s="46"/>
      <c r="G258" s="76" t="s">
        <v>323</v>
      </c>
      <c r="H258" s="48" t="s">
        <v>341</v>
      </c>
      <c r="I258" s="48"/>
      <c r="J258" s="84"/>
      <c r="K258" s="85"/>
      <c r="L258" s="47"/>
      <c r="M258" s="3">
        <f>1.2+0.1+1.2+0.2+0.68+0.82+0.2*2-0.74-0.24</f>
        <v>3.62</v>
      </c>
      <c r="N258" s="3">
        <f>6.25-3.35</f>
        <v>2.9</v>
      </c>
      <c r="O258" s="22">
        <v>0.24</v>
      </c>
      <c r="P258" s="23">
        <v>1</v>
      </c>
      <c r="Q258" s="3"/>
      <c r="R258" s="3"/>
      <c r="S258" s="3"/>
      <c r="T258" s="3"/>
      <c r="U258" s="3"/>
      <c r="V258" s="23"/>
      <c r="W258" s="3"/>
      <c r="X258" s="3"/>
      <c r="Y258" s="17"/>
      <c r="Z258" s="17"/>
      <c r="AA258" s="3"/>
      <c r="AB258" s="3"/>
      <c r="AC258" s="3"/>
      <c r="AD258" s="3"/>
      <c r="AE258" s="3">
        <f t="shared" si="381"/>
        <v>3.62</v>
      </c>
      <c r="AF258" s="3"/>
      <c r="AG258" s="3"/>
      <c r="AH258" s="3">
        <v>0.2</v>
      </c>
      <c r="AI258" s="3">
        <f t="shared" si="392"/>
        <v>0.24</v>
      </c>
      <c r="AJ258" s="3">
        <f t="shared" si="382"/>
        <v>1.4480000000000002</v>
      </c>
      <c r="AK258" s="12">
        <f t="shared" si="384"/>
        <v>10.497999999999999</v>
      </c>
      <c r="AL258" s="12">
        <f t="shared" si="385"/>
        <v>10.497999999999999</v>
      </c>
      <c r="AM258" s="12">
        <f t="shared" si="386"/>
        <v>2.5195199999999995</v>
      </c>
      <c r="AN258" s="12">
        <f t="shared" si="387"/>
        <v>2.5195199999999995</v>
      </c>
      <c r="AO258" s="12" t="str">
        <f t="shared" si="388"/>
        <v/>
      </c>
      <c r="AP258" s="12">
        <f t="shared" si="389"/>
        <v>3.62</v>
      </c>
      <c r="AQ258" s="12" t="str">
        <f t="shared" si="390"/>
        <v/>
      </c>
      <c r="AR258" s="12" t="str">
        <f t="shared" si="391"/>
        <v/>
      </c>
      <c r="AS258" s="12">
        <f t="shared" si="383"/>
        <v>0.17376000000000003</v>
      </c>
      <c r="AT258" s="12">
        <f t="shared" si="379"/>
        <v>1.4480000000000002</v>
      </c>
      <c r="AU258" s="12" t="str">
        <f t="shared" si="166"/>
        <v/>
      </c>
      <c r="AV258" s="17"/>
      <c r="AX258" s="4"/>
    </row>
    <row r="259" spans="1:50" x14ac:dyDescent="0.25">
      <c r="A259" s="43" t="s">
        <v>276</v>
      </c>
      <c r="B259" s="52"/>
      <c r="C259" s="44"/>
      <c r="D259" s="43"/>
      <c r="E259" s="52"/>
      <c r="F259" s="46"/>
      <c r="G259" s="76"/>
      <c r="H259" s="48" t="s">
        <v>345</v>
      </c>
      <c r="I259" s="48"/>
      <c r="J259" s="84"/>
      <c r="K259" s="85"/>
      <c r="L259" s="47"/>
      <c r="M259" s="3">
        <v>0.74</v>
      </c>
      <c r="N259" s="3">
        <f>6.25-3.35</f>
        <v>2.9</v>
      </c>
      <c r="O259" s="22">
        <v>0.24</v>
      </c>
      <c r="P259" s="23">
        <v>1</v>
      </c>
      <c r="Q259" s="3"/>
      <c r="R259" s="3"/>
      <c r="S259" s="3"/>
      <c r="T259" s="3"/>
      <c r="U259" s="3"/>
      <c r="V259" s="23"/>
      <c r="W259" s="3"/>
      <c r="X259" s="3"/>
      <c r="Y259" s="17"/>
      <c r="Z259" s="17"/>
      <c r="AA259" s="3"/>
      <c r="AB259" s="3"/>
      <c r="AC259" s="3"/>
      <c r="AD259" s="3"/>
      <c r="AE259" s="3">
        <f t="shared" si="381"/>
        <v>0.74</v>
      </c>
      <c r="AF259" s="3"/>
      <c r="AG259" s="3"/>
      <c r="AH259" s="3">
        <v>0.2</v>
      </c>
      <c r="AI259" s="3">
        <f t="shared" si="392"/>
        <v>0.24</v>
      </c>
      <c r="AJ259" s="3">
        <f t="shared" si="382"/>
        <v>0.29599999999999999</v>
      </c>
      <c r="AK259" s="12">
        <f t="shared" si="384"/>
        <v>2.1459999999999999</v>
      </c>
      <c r="AL259" s="12">
        <f t="shared" si="385"/>
        <v>2.1459999999999999</v>
      </c>
      <c r="AM259" s="12">
        <f t="shared" si="386"/>
        <v>0.51503999999999994</v>
      </c>
      <c r="AN259" s="12">
        <f t="shared" si="387"/>
        <v>0.51503999999999994</v>
      </c>
      <c r="AO259" s="12" t="str">
        <f t="shared" si="388"/>
        <v/>
      </c>
      <c r="AP259" s="12">
        <f t="shared" si="389"/>
        <v>0.74</v>
      </c>
      <c r="AQ259" s="12" t="str">
        <f t="shared" si="390"/>
        <v/>
      </c>
      <c r="AR259" s="12" t="str">
        <f t="shared" si="391"/>
        <v/>
      </c>
      <c r="AS259" s="12">
        <f t="shared" si="383"/>
        <v>3.5519999999999996E-2</v>
      </c>
      <c r="AT259" s="12">
        <f t="shared" si="379"/>
        <v>0.29599999999999999</v>
      </c>
      <c r="AU259" s="12" t="str">
        <f t="shared" si="166"/>
        <v/>
      </c>
      <c r="AV259" s="17"/>
      <c r="AX259" s="4"/>
    </row>
    <row r="260" spans="1:50" x14ac:dyDescent="0.25">
      <c r="A260" s="43" t="s">
        <v>276</v>
      </c>
      <c r="B260" s="52"/>
      <c r="C260" s="44"/>
      <c r="D260" s="43"/>
      <c r="E260" s="52"/>
      <c r="F260" s="46"/>
      <c r="G260" s="76" t="s">
        <v>324</v>
      </c>
      <c r="H260" s="48" t="s">
        <v>341</v>
      </c>
      <c r="I260" s="48"/>
      <c r="J260" s="84"/>
      <c r="K260" s="85"/>
      <c r="L260" s="47"/>
      <c r="M260" s="3">
        <f>2.905+4.615</f>
        <v>7.52</v>
      </c>
      <c r="N260" s="3">
        <f>6.25-3.5</f>
        <v>2.75</v>
      </c>
      <c r="O260" s="22">
        <v>0.24</v>
      </c>
      <c r="P260" s="23">
        <v>1</v>
      </c>
      <c r="Q260" s="3"/>
      <c r="R260" s="3"/>
      <c r="S260" s="3"/>
      <c r="T260" s="3"/>
      <c r="U260" s="3"/>
      <c r="V260" s="23"/>
      <c r="W260" s="3"/>
      <c r="X260" s="3"/>
      <c r="Y260" s="17"/>
      <c r="Z260" s="17"/>
      <c r="AA260" s="3"/>
      <c r="AB260" s="3"/>
      <c r="AC260" s="3"/>
      <c r="AD260" s="3"/>
      <c r="AE260" s="3">
        <f t="shared" si="381"/>
        <v>7.52</v>
      </c>
      <c r="AF260" s="3"/>
      <c r="AG260" s="3"/>
      <c r="AH260" s="3">
        <v>0.2</v>
      </c>
      <c r="AI260" s="3">
        <f t="shared" si="392"/>
        <v>0.24</v>
      </c>
      <c r="AJ260" s="3">
        <f t="shared" si="382"/>
        <v>3.008</v>
      </c>
      <c r="AK260" s="12">
        <f t="shared" si="384"/>
        <v>20.68</v>
      </c>
      <c r="AL260" s="12">
        <f t="shared" si="385"/>
        <v>20.68</v>
      </c>
      <c r="AM260" s="12">
        <f t="shared" si="386"/>
        <v>4.9631999999999996</v>
      </c>
      <c r="AN260" s="12">
        <f t="shared" si="387"/>
        <v>4.9631999999999996</v>
      </c>
      <c r="AO260" s="12" t="str">
        <f t="shared" si="388"/>
        <v/>
      </c>
      <c r="AP260" s="12">
        <f t="shared" si="389"/>
        <v>7.52</v>
      </c>
      <c r="AQ260" s="12" t="str">
        <f t="shared" si="390"/>
        <v/>
      </c>
      <c r="AR260" s="12" t="str">
        <f t="shared" si="391"/>
        <v/>
      </c>
      <c r="AS260" s="12">
        <f t="shared" si="383"/>
        <v>0.36096</v>
      </c>
      <c r="AT260" s="12">
        <f t="shared" si="379"/>
        <v>3.008</v>
      </c>
      <c r="AU260" s="12" t="str">
        <f t="shared" si="166"/>
        <v/>
      </c>
      <c r="AV260" s="17"/>
      <c r="AX260" s="4"/>
    </row>
    <row r="261" spans="1:50" x14ac:dyDescent="0.25">
      <c r="A261" s="43" t="s">
        <v>276</v>
      </c>
      <c r="B261" s="52"/>
      <c r="C261" s="44"/>
      <c r="D261" s="43"/>
      <c r="E261" s="52"/>
      <c r="F261" s="46"/>
      <c r="G261" s="76"/>
      <c r="H261" s="48" t="s">
        <v>345</v>
      </c>
      <c r="I261" s="48"/>
      <c r="J261" s="84"/>
      <c r="K261" s="85"/>
      <c r="L261" s="47"/>
      <c r="M261" s="3">
        <v>0.74</v>
      </c>
      <c r="N261" s="3">
        <f>6.25-3.5</f>
        <v>2.75</v>
      </c>
      <c r="O261" s="22">
        <v>0.24</v>
      </c>
      <c r="P261" s="23">
        <v>1</v>
      </c>
      <c r="Q261" s="3"/>
      <c r="R261" s="3"/>
      <c r="S261" s="3"/>
      <c r="T261" s="3"/>
      <c r="U261" s="3"/>
      <c r="V261" s="23"/>
      <c r="W261" s="3"/>
      <c r="X261" s="3"/>
      <c r="Y261" s="17"/>
      <c r="Z261" s="17"/>
      <c r="AA261" s="3"/>
      <c r="AB261" s="3"/>
      <c r="AC261" s="3"/>
      <c r="AD261" s="3"/>
      <c r="AE261" s="3">
        <f t="shared" si="381"/>
        <v>0.74</v>
      </c>
      <c r="AF261" s="3"/>
      <c r="AG261" s="3"/>
      <c r="AH261" s="3">
        <v>0.2</v>
      </c>
      <c r="AI261" s="3">
        <f t="shared" si="392"/>
        <v>0.24</v>
      </c>
      <c r="AJ261" s="3">
        <f t="shared" si="382"/>
        <v>0.29599999999999999</v>
      </c>
      <c r="AK261" s="12">
        <f t="shared" si="384"/>
        <v>2.0350000000000001</v>
      </c>
      <c r="AL261" s="12">
        <f t="shared" si="385"/>
        <v>2.0350000000000001</v>
      </c>
      <c r="AM261" s="12">
        <f t="shared" si="386"/>
        <v>0.4884</v>
      </c>
      <c r="AN261" s="12">
        <f t="shared" si="387"/>
        <v>0.4884</v>
      </c>
      <c r="AO261" s="12" t="str">
        <f t="shared" si="388"/>
        <v/>
      </c>
      <c r="AP261" s="12">
        <f t="shared" si="389"/>
        <v>0.74</v>
      </c>
      <c r="AQ261" s="12" t="str">
        <f t="shared" si="390"/>
        <v/>
      </c>
      <c r="AR261" s="12" t="str">
        <f t="shared" si="391"/>
        <v/>
      </c>
      <c r="AS261" s="12">
        <f t="shared" si="383"/>
        <v>3.5519999999999996E-2</v>
      </c>
      <c r="AT261" s="12">
        <f t="shared" si="379"/>
        <v>0.29599999999999999</v>
      </c>
      <c r="AU261" s="12" t="str">
        <f t="shared" ref="AU261:AU491" si="401">IF(OR(H261="s1",H261="s2",H261="s3",H261="s4",H261="s4*",H261="s5",H261="s12",H261="s16"),IF(M261&gt;=4,M261,""),"")</f>
        <v/>
      </c>
      <c r="AV261" s="17"/>
      <c r="AX261" s="4"/>
    </row>
    <row r="262" spans="1:50" x14ac:dyDescent="0.25">
      <c r="A262" s="43" t="s">
        <v>276</v>
      </c>
      <c r="B262" s="52"/>
      <c r="C262" s="44"/>
      <c r="D262" s="43"/>
      <c r="E262" s="52"/>
      <c r="F262" s="46"/>
      <c r="G262" s="76" t="s">
        <v>325</v>
      </c>
      <c r="H262" s="48" t="s">
        <v>341</v>
      </c>
      <c r="I262" s="48"/>
      <c r="J262" s="84"/>
      <c r="K262" s="85"/>
      <c r="L262" s="47"/>
      <c r="M262" s="3">
        <f>1.19-0.24+2.13*4+2.58+1.33+1.24-0.24</f>
        <v>14.379999999999999</v>
      </c>
      <c r="N262" s="3">
        <f t="shared" ref="N262" si="402">6.25-3.5</f>
        <v>2.75</v>
      </c>
      <c r="O262" s="22">
        <v>0.24</v>
      </c>
      <c r="P262" s="23">
        <v>1</v>
      </c>
      <c r="Q262" s="3"/>
      <c r="R262" s="3"/>
      <c r="S262" s="3"/>
      <c r="T262" s="3"/>
      <c r="U262" s="3"/>
      <c r="V262" s="23"/>
      <c r="W262" s="3"/>
      <c r="X262" s="3"/>
      <c r="Y262" s="17"/>
      <c r="Z262" s="17"/>
      <c r="AA262" s="3"/>
      <c r="AB262" s="3"/>
      <c r="AC262" s="3"/>
      <c r="AD262" s="3"/>
      <c r="AE262" s="3">
        <f t="shared" si="381"/>
        <v>14.379999999999999</v>
      </c>
      <c r="AF262" s="3"/>
      <c r="AG262" s="3"/>
      <c r="AH262" s="3">
        <v>0.2</v>
      </c>
      <c r="AI262" s="3">
        <f t="shared" si="392"/>
        <v>0.24</v>
      </c>
      <c r="AJ262" s="3">
        <f t="shared" si="382"/>
        <v>5.7519999999999998</v>
      </c>
      <c r="AK262" s="12">
        <f t="shared" si="384"/>
        <v>39.544999999999995</v>
      </c>
      <c r="AL262" s="12">
        <f t="shared" si="385"/>
        <v>39.544999999999995</v>
      </c>
      <c r="AM262" s="12">
        <f t="shared" si="386"/>
        <v>9.4907999999999983</v>
      </c>
      <c r="AN262" s="12">
        <f t="shared" si="387"/>
        <v>9.4907999999999983</v>
      </c>
      <c r="AO262" s="12" t="str">
        <f t="shared" si="388"/>
        <v/>
      </c>
      <c r="AP262" s="12">
        <f t="shared" si="389"/>
        <v>14.379999999999999</v>
      </c>
      <c r="AQ262" s="12" t="str">
        <f t="shared" si="390"/>
        <v/>
      </c>
      <c r="AR262" s="12" t="str">
        <f t="shared" si="391"/>
        <v/>
      </c>
      <c r="AS262" s="12">
        <f t="shared" si="383"/>
        <v>0.69023999999999996</v>
      </c>
      <c r="AT262" s="12">
        <f t="shared" si="379"/>
        <v>5.7519999999999998</v>
      </c>
      <c r="AU262" s="12" t="str">
        <f t="shared" si="401"/>
        <v/>
      </c>
      <c r="AV262" s="17"/>
      <c r="AX262" s="4"/>
    </row>
    <row r="263" spans="1:50" x14ac:dyDescent="0.25">
      <c r="A263" s="43" t="s">
        <v>276</v>
      </c>
      <c r="B263" s="52"/>
      <c r="C263" s="44"/>
      <c r="D263" s="43"/>
      <c r="E263" s="52"/>
      <c r="F263" s="46"/>
      <c r="G263" s="76" t="s">
        <v>326</v>
      </c>
      <c r="H263" s="48" t="s">
        <v>341</v>
      </c>
      <c r="I263" s="48"/>
      <c r="J263" s="84"/>
      <c r="K263" s="85"/>
      <c r="L263" s="47"/>
      <c r="M263" s="3">
        <v>4.4450000000000003</v>
      </c>
      <c r="N263" s="3">
        <f>6.45-3.5</f>
        <v>2.95</v>
      </c>
      <c r="O263" s="22">
        <v>0.24</v>
      </c>
      <c r="P263" s="23">
        <v>1</v>
      </c>
      <c r="Q263" s="3"/>
      <c r="R263" s="3"/>
      <c r="S263" s="3"/>
      <c r="T263" s="3"/>
      <c r="U263" s="3"/>
      <c r="V263" s="23"/>
      <c r="W263" s="3"/>
      <c r="X263" s="3"/>
      <c r="Y263" s="17"/>
      <c r="Z263" s="17"/>
      <c r="AA263" s="3"/>
      <c r="AB263" s="3"/>
      <c r="AC263" s="3"/>
      <c r="AD263" s="3"/>
      <c r="AE263" s="3">
        <f t="shared" si="381"/>
        <v>4.4450000000000003</v>
      </c>
      <c r="AF263" s="3"/>
      <c r="AG263" s="3">
        <f>0.24*2</f>
        <v>0.48</v>
      </c>
      <c r="AH263" s="3">
        <v>0.2</v>
      </c>
      <c r="AI263" s="3">
        <f t="shared" si="392"/>
        <v>0.24</v>
      </c>
      <c r="AJ263" s="3">
        <f t="shared" si="382"/>
        <v>1.8740000000000003</v>
      </c>
      <c r="AK263" s="12">
        <f t="shared" si="384"/>
        <v>13.112750000000002</v>
      </c>
      <c r="AL263" s="12">
        <f t="shared" si="385"/>
        <v>13.112750000000002</v>
      </c>
      <c r="AM263" s="12">
        <f t="shared" si="386"/>
        <v>3.1470600000000002</v>
      </c>
      <c r="AN263" s="12">
        <f t="shared" si="387"/>
        <v>3.1470600000000002</v>
      </c>
      <c r="AO263" s="12" t="str">
        <f t="shared" si="388"/>
        <v/>
      </c>
      <c r="AP263" s="12">
        <f t="shared" si="389"/>
        <v>4.4450000000000003</v>
      </c>
      <c r="AQ263" s="12" t="str">
        <f t="shared" si="390"/>
        <v/>
      </c>
      <c r="AR263" s="12" t="str">
        <f t="shared" si="391"/>
        <v/>
      </c>
      <c r="AS263" s="12">
        <f t="shared" si="383"/>
        <v>0.21336000000000002</v>
      </c>
      <c r="AT263" s="12">
        <f t="shared" si="379"/>
        <v>1.8740000000000003</v>
      </c>
      <c r="AU263" s="12" t="str">
        <f t="shared" si="401"/>
        <v/>
      </c>
      <c r="AV263" s="17"/>
      <c r="AX263" s="4"/>
    </row>
    <row r="264" spans="1:50" x14ac:dyDescent="0.25">
      <c r="A264" s="43" t="s">
        <v>276</v>
      </c>
      <c r="B264" s="52"/>
      <c r="C264" s="44"/>
      <c r="D264" s="43"/>
      <c r="E264" s="52"/>
      <c r="F264" s="46"/>
      <c r="G264" s="76" t="s">
        <v>346</v>
      </c>
      <c r="H264" s="48" t="s">
        <v>341</v>
      </c>
      <c r="I264" s="48"/>
      <c r="J264" s="84"/>
      <c r="K264" s="85"/>
      <c r="L264" s="47"/>
      <c r="M264" s="3">
        <v>4.4450000000000003</v>
      </c>
      <c r="N264" s="3">
        <f t="shared" ref="N264:N270" si="403">6.45-3.5</f>
        <v>2.95</v>
      </c>
      <c r="O264" s="22">
        <v>0.24</v>
      </c>
      <c r="P264" s="23">
        <v>1</v>
      </c>
      <c r="Q264" s="3"/>
      <c r="R264" s="3"/>
      <c r="S264" s="3"/>
      <c r="T264" s="3"/>
      <c r="U264" s="3"/>
      <c r="V264" s="23"/>
      <c r="W264" s="3"/>
      <c r="X264" s="3"/>
      <c r="Y264" s="17"/>
      <c r="Z264" s="17"/>
      <c r="AA264" s="3"/>
      <c r="AB264" s="3"/>
      <c r="AC264" s="3"/>
      <c r="AD264" s="3"/>
      <c r="AE264" s="3">
        <f t="shared" si="381"/>
        <v>4.4450000000000003</v>
      </c>
      <c r="AF264" s="3"/>
      <c r="AG264" s="3">
        <f>0.24*2</f>
        <v>0.48</v>
      </c>
      <c r="AH264" s="3">
        <v>0.2</v>
      </c>
      <c r="AI264" s="3">
        <f t="shared" si="392"/>
        <v>0.24</v>
      </c>
      <c r="AJ264" s="3">
        <f t="shared" si="382"/>
        <v>1.8740000000000003</v>
      </c>
      <c r="AK264" s="12">
        <f t="shared" si="384"/>
        <v>13.112750000000002</v>
      </c>
      <c r="AL264" s="12">
        <f t="shared" si="385"/>
        <v>13.112750000000002</v>
      </c>
      <c r="AM264" s="12">
        <f t="shared" si="386"/>
        <v>3.1470600000000002</v>
      </c>
      <c r="AN264" s="12">
        <f t="shared" si="387"/>
        <v>3.1470600000000002</v>
      </c>
      <c r="AO264" s="12" t="str">
        <f t="shared" si="388"/>
        <v/>
      </c>
      <c r="AP264" s="12">
        <f t="shared" si="389"/>
        <v>4.4450000000000003</v>
      </c>
      <c r="AQ264" s="12" t="str">
        <f t="shared" si="390"/>
        <v/>
      </c>
      <c r="AR264" s="12" t="str">
        <f t="shared" si="391"/>
        <v/>
      </c>
      <c r="AS264" s="12">
        <f t="shared" si="383"/>
        <v>0.21336000000000002</v>
      </c>
      <c r="AT264" s="12">
        <f t="shared" si="379"/>
        <v>1.8740000000000003</v>
      </c>
      <c r="AU264" s="12" t="str">
        <f t="shared" si="401"/>
        <v/>
      </c>
      <c r="AV264" s="17"/>
      <c r="AX264" s="4"/>
    </row>
    <row r="265" spans="1:50" x14ac:dyDescent="0.25">
      <c r="A265" s="43" t="s">
        <v>276</v>
      </c>
      <c r="B265" s="52"/>
      <c r="C265" s="44"/>
      <c r="D265" s="43"/>
      <c r="E265" s="52"/>
      <c r="F265" s="46"/>
      <c r="G265" s="76" t="s">
        <v>347</v>
      </c>
      <c r="H265" s="48" t="s">
        <v>341</v>
      </c>
      <c r="I265" s="48"/>
      <c r="J265" s="84"/>
      <c r="K265" s="85"/>
      <c r="L265" s="47"/>
      <c r="M265" s="3">
        <v>2.1850000000000001</v>
      </c>
      <c r="N265" s="3">
        <f t="shared" si="403"/>
        <v>2.95</v>
      </c>
      <c r="O265" s="22">
        <v>0.24</v>
      </c>
      <c r="P265" s="23">
        <v>1</v>
      </c>
      <c r="Q265" s="3"/>
      <c r="R265" s="3"/>
      <c r="S265" s="3"/>
      <c r="T265" s="3"/>
      <c r="U265" s="3"/>
      <c r="V265" s="23"/>
      <c r="W265" s="3"/>
      <c r="X265" s="3"/>
      <c r="Y265" s="17"/>
      <c r="Z265" s="17"/>
      <c r="AA265" s="3"/>
      <c r="AB265" s="3"/>
      <c r="AC265" s="3"/>
      <c r="AD265" s="3"/>
      <c r="AE265" s="3">
        <f t="shared" si="381"/>
        <v>2.1850000000000001</v>
      </c>
      <c r="AF265" s="3"/>
      <c r="AG265" s="3">
        <v>0.24</v>
      </c>
      <c r="AH265" s="3">
        <v>0.2</v>
      </c>
      <c r="AI265" s="3">
        <f t="shared" si="392"/>
        <v>0.24</v>
      </c>
      <c r="AJ265" s="3">
        <f t="shared" si="382"/>
        <v>0.92200000000000015</v>
      </c>
      <c r="AK265" s="12">
        <f t="shared" si="384"/>
        <v>6.4457500000000003</v>
      </c>
      <c r="AL265" s="12">
        <f t="shared" si="385"/>
        <v>6.4457500000000003</v>
      </c>
      <c r="AM265" s="12">
        <f t="shared" si="386"/>
        <v>1.54698</v>
      </c>
      <c r="AN265" s="12">
        <f t="shared" si="387"/>
        <v>1.54698</v>
      </c>
      <c r="AO265" s="12" t="str">
        <f t="shared" si="388"/>
        <v/>
      </c>
      <c r="AP265" s="12">
        <f t="shared" si="389"/>
        <v>2.1850000000000001</v>
      </c>
      <c r="AQ265" s="12" t="str">
        <f t="shared" si="390"/>
        <v/>
      </c>
      <c r="AR265" s="12" t="str">
        <f t="shared" si="391"/>
        <v/>
      </c>
      <c r="AS265" s="12">
        <f t="shared" si="383"/>
        <v>0.10488000000000001</v>
      </c>
      <c r="AT265" s="12">
        <f t="shared" si="379"/>
        <v>0.92200000000000015</v>
      </c>
      <c r="AU265" s="12" t="str">
        <f t="shared" si="401"/>
        <v/>
      </c>
      <c r="AV265" s="17"/>
      <c r="AX265" s="4"/>
    </row>
    <row r="266" spans="1:50" x14ac:dyDescent="0.25">
      <c r="A266" s="43" t="s">
        <v>276</v>
      </c>
      <c r="B266" s="52"/>
      <c r="C266" s="44"/>
      <c r="D266" s="43"/>
      <c r="E266" s="52"/>
      <c r="F266" s="46"/>
      <c r="G266" s="76" t="s">
        <v>348</v>
      </c>
      <c r="H266" s="48" t="s">
        <v>343</v>
      </c>
      <c r="I266" s="48"/>
      <c r="J266" s="84"/>
      <c r="K266" s="85"/>
      <c r="L266" s="47"/>
      <c r="M266" s="3">
        <f>5.74-0.415</f>
        <v>5.3250000000000002</v>
      </c>
      <c r="N266" s="3">
        <f t="shared" si="403"/>
        <v>2.95</v>
      </c>
      <c r="O266" s="22">
        <v>0.19</v>
      </c>
      <c r="P266" s="23">
        <v>1</v>
      </c>
      <c r="Q266" s="3"/>
      <c r="R266" s="3">
        <f>1*1.95</f>
        <v>1.95</v>
      </c>
      <c r="S266" s="3"/>
      <c r="T266" s="3"/>
      <c r="U266" s="3"/>
      <c r="V266" s="23"/>
      <c r="W266" s="3"/>
      <c r="X266" s="3"/>
      <c r="Y266" s="17"/>
      <c r="Z266" s="17"/>
      <c r="AA266" s="3"/>
      <c r="AB266" s="3"/>
      <c r="AC266" s="3"/>
      <c r="AD266" s="3"/>
      <c r="AE266" s="3">
        <f t="shared" si="381"/>
        <v>5.3250000000000002</v>
      </c>
      <c r="AF266" s="3">
        <f>1+0.24</f>
        <v>1.24</v>
      </c>
      <c r="AG266" s="3">
        <f>0.19*3</f>
        <v>0.57000000000000006</v>
      </c>
      <c r="AH266" s="3">
        <v>0.2</v>
      </c>
      <c r="AI266" s="3">
        <f t="shared" si="392"/>
        <v>0.19</v>
      </c>
      <c r="AJ266" s="3">
        <f t="shared" si="382"/>
        <v>1.7480000000000002</v>
      </c>
      <c r="AK266" s="12">
        <f t="shared" ref="AK266:AK473" si="404">IF(((M266*N266)-Q266-R266-S266+T266+U266)=0,"",((M266*N266)-Q266-R266-S266+T266+U266))</f>
        <v>13.758750000000003</v>
      </c>
      <c r="AL266" s="12">
        <f t="shared" ref="AL266:AL473" si="405">IF(PRODUCT(P266,AK266)=0,"",P266*AK266)</f>
        <v>13.758750000000003</v>
      </c>
      <c r="AM266" s="12">
        <f t="shared" ref="AM266:AM473" si="406">IF(PRODUCT(AK266,O266)=0,"",AK266*O266)</f>
        <v>2.6141625000000004</v>
      </c>
      <c r="AN266" s="12">
        <f t="shared" ref="AN266:AN473" si="407">IF(PRODUCT(AM266,P266)=0,"",AM266*P266)</f>
        <v>2.6141625000000004</v>
      </c>
      <c r="AO266" s="12" t="str">
        <f t="shared" ref="AO266:AO473" si="408">IF(N266*V266-W266+X266=0,"",N266*V266-W266+X266)</f>
        <v/>
      </c>
      <c r="AP266" s="12">
        <f t="shared" ref="AP266:AP473" si="409">IF(PRODUCT(M266,P266)=0,"",M266*P266)</f>
        <v>5.3250000000000002</v>
      </c>
      <c r="AQ266" s="12" t="str">
        <f t="shared" ref="AQ266:AQ473" si="410">IF(AA266+AB266=0,"",AA266+AB266)</f>
        <v/>
      </c>
      <c r="AR266" s="12" t="str">
        <f t="shared" ref="AR266:AR473" si="411">IF(AC266+AD266=0,"",AC266+AD266)</f>
        <v/>
      </c>
      <c r="AS266" s="12">
        <f t="shared" si="383"/>
        <v>0.20235000000000003</v>
      </c>
      <c r="AT266" s="12">
        <f t="shared" si="379"/>
        <v>1.7480000000000002</v>
      </c>
      <c r="AU266" s="12" t="str">
        <f t="shared" si="401"/>
        <v/>
      </c>
      <c r="AV266" s="17"/>
      <c r="AX266" s="4"/>
    </row>
    <row r="267" spans="1:50" x14ac:dyDescent="0.25">
      <c r="A267" s="43" t="s">
        <v>276</v>
      </c>
      <c r="B267" s="52"/>
      <c r="C267" s="44"/>
      <c r="D267" s="43"/>
      <c r="E267" s="52"/>
      <c r="F267" s="46"/>
      <c r="G267" s="76" t="s">
        <v>410</v>
      </c>
      <c r="H267" s="48" t="s">
        <v>334</v>
      </c>
      <c r="I267" s="48"/>
      <c r="J267" s="84"/>
      <c r="K267" s="85"/>
      <c r="L267" s="47"/>
      <c r="M267" s="3">
        <v>0.41499999999999998</v>
      </c>
      <c r="N267" s="3">
        <f t="shared" si="403"/>
        <v>2.95</v>
      </c>
      <c r="O267" s="22">
        <v>0.2</v>
      </c>
      <c r="P267" s="23">
        <v>1</v>
      </c>
      <c r="Q267" s="3"/>
      <c r="R267" s="3"/>
      <c r="S267" s="3"/>
      <c r="T267" s="3"/>
      <c r="U267" s="3"/>
      <c r="V267" s="23"/>
      <c r="W267" s="3"/>
      <c r="X267" s="3"/>
      <c r="Y267" s="17"/>
      <c r="Z267" s="17"/>
      <c r="AA267" s="3">
        <f>0.2*2.75*2</f>
        <v>1.1000000000000001</v>
      </c>
      <c r="AB267" s="3"/>
      <c r="AC267" s="3">
        <f t="shared" ref="AC267" si="412">M267*N267*2</f>
        <v>2.4485000000000001</v>
      </c>
      <c r="AD267" s="3"/>
      <c r="AE267" s="3">
        <f t="shared" si="381"/>
        <v>0.41499999999999998</v>
      </c>
      <c r="AF267" s="3"/>
      <c r="AG267" s="3"/>
      <c r="AH267" s="3">
        <v>0.2</v>
      </c>
      <c r="AI267" s="3">
        <f t="shared" si="392"/>
        <v>0.2</v>
      </c>
      <c r="AJ267" s="3">
        <f t="shared" si="382"/>
        <v>0.16600000000000001</v>
      </c>
      <c r="AK267" s="12">
        <f t="shared" si="404"/>
        <v>1.2242500000000001</v>
      </c>
      <c r="AL267" s="12">
        <f t="shared" si="405"/>
        <v>1.2242500000000001</v>
      </c>
      <c r="AM267" s="12">
        <f t="shared" si="406"/>
        <v>0.24485000000000001</v>
      </c>
      <c r="AN267" s="12">
        <f t="shared" si="407"/>
        <v>0.24485000000000001</v>
      </c>
      <c r="AO267" s="12" t="str">
        <f t="shared" si="408"/>
        <v/>
      </c>
      <c r="AP267" s="12">
        <f t="shared" si="409"/>
        <v>0.41499999999999998</v>
      </c>
      <c r="AQ267" s="12">
        <f t="shared" si="410"/>
        <v>1.1000000000000001</v>
      </c>
      <c r="AR267" s="12">
        <f t="shared" si="411"/>
        <v>2.4485000000000001</v>
      </c>
      <c r="AS267" s="12">
        <f t="shared" si="383"/>
        <v>1.66E-2</v>
      </c>
      <c r="AT267" s="12">
        <f t="shared" si="379"/>
        <v>0.16600000000000001</v>
      </c>
      <c r="AU267" s="12" t="str">
        <f t="shared" si="401"/>
        <v/>
      </c>
      <c r="AV267" s="17"/>
      <c r="AX267" s="4"/>
    </row>
    <row r="268" spans="1:50" x14ac:dyDescent="0.25">
      <c r="A268" s="43" t="s">
        <v>276</v>
      </c>
      <c r="B268" s="52"/>
      <c r="C268" s="44"/>
      <c r="D268" s="43"/>
      <c r="E268" s="52"/>
      <c r="F268" s="46"/>
      <c r="G268" s="76" t="s">
        <v>349</v>
      </c>
      <c r="H268" s="48" t="s">
        <v>343</v>
      </c>
      <c r="I268" s="48"/>
      <c r="J268" s="84"/>
      <c r="K268" s="85"/>
      <c r="L268" s="47"/>
      <c r="M268" s="3">
        <v>2.42</v>
      </c>
      <c r="N268" s="3">
        <f t="shared" si="403"/>
        <v>2.95</v>
      </c>
      <c r="O268" s="22">
        <v>0.19</v>
      </c>
      <c r="P268" s="23">
        <v>1</v>
      </c>
      <c r="Q268" s="3"/>
      <c r="R268" s="3"/>
      <c r="S268" s="3"/>
      <c r="T268" s="3"/>
      <c r="U268" s="3"/>
      <c r="V268" s="23"/>
      <c r="W268" s="3"/>
      <c r="X268" s="3"/>
      <c r="Y268" s="17"/>
      <c r="Z268" s="17"/>
      <c r="AA268" s="3"/>
      <c r="AB268" s="3"/>
      <c r="AC268" s="3"/>
      <c r="AD268" s="3"/>
      <c r="AE268" s="3">
        <f t="shared" si="381"/>
        <v>2.42</v>
      </c>
      <c r="AF268" s="3"/>
      <c r="AG268" s="3"/>
      <c r="AH268" s="3">
        <v>0.2</v>
      </c>
      <c r="AI268" s="3">
        <f t="shared" si="392"/>
        <v>0.19</v>
      </c>
      <c r="AJ268" s="3">
        <f t="shared" si="382"/>
        <v>0.96799999999999997</v>
      </c>
      <c r="AK268" s="12">
        <f t="shared" si="404"/>
        <v>7.1390000000000002</v>
      </c>
      <c r="AL268" s="12">
        <f t="shared" si="405"/>
        <v>7.1390000000000002</v>
      </c>
      <c r="AM268" s="12">
        <f t="shared" si="406"/>
        <v>1.3564100000000001</v>
      </c>
      <c r="AN268" s="12">
        <f t="shared" si="407"/>
        <v>1.3564100000000001</v>
      </c>
      <c r="AO268" s="12" t="str">
        <f t="shared" si="408"/>
        <v/>
      </c>
      <c r="AP268" s="12">
        <f t="shared" si="409"/>
        <v>2.42</v>
      </c>
      <c r="AQ268" s="12" t="str">
        <f t="shared" si="410"/>
        <v/>
      </c>
      <c r="AR268" s="12" t="str">
        <f t="shared" si="411"/>
        <v/>
      </c>
      <c r="AS268" s="12">
        <f t="shared" si="383"/>
        <v>9.196E-2</v>
      </c>
      <c r="AT268" s="12">
        <f t="shared" si="379"/>
        <v>0.96799999999999997</v>
      </c>
      <c r="AU268" s="12" t="str">
        <f t="shared" si="401"/>
        <v/>
      </c>
      <c r="AV268" s="17"/>
      <c r="AX268" s="4"/>
    </row>
    <row r="269" spans="1:50" x14ac:dyDescent="0.25">
      <c r="A269" s="43" t="s">
        <v>276</v>
      </c>
      <c r="B269" s="52"/>
      <c r="C269" s="44"/>
      <c r="D269" s="43"/>
      <c r="E269" s="52"/>
      <c r="F269" s="46"/>
      <c r="G269" s="76" t="s">
        <v>350</v>
      </c>
      <c r="H269" s="48" t="s">
        <v>343</v>
      </c>
      <c r="I269" s="48"/>
      <c r="J269" s="84"/>
      <c r="K269" s="85"/>
      <c r="L269" s="47"/>
      <c r="M269" s="3">
        <v>5.74</v>
      </c>
      <c r="N269" s="3">
        <f t="shared" si="403"/>
        <v>2.95</v>
      </c>
      <c r="O269" s="22">
        <v>0.19</v>
      </c>
      <c r="P269" s="23">
        <v>1</v>
      </c>
      <c r="Q269" s="3"/>
      <c r="R269" s="3"/>
      <c r="S269" s="3"/>
      <c r="T269" s="3"/>
      <c r="U269" s="3"/>
      <c r="V269" s="23"/>
      <c r="W269" s="3"/>
      <c r="X269" s="3"/>
      <c r="Y269" s="17"/>
      <c r="Z269" s="17"/>
      <c r="AA269" s="3"/>
      <c r="AB269" s="3"/>
      <c r="AC269" s="3"/>
      <c r="AD269" s="3"/>
      <c r="AE269" s="3">
        <f t="shared" si="381"/>
        <v>5.74</v>
      </c>
      <c r="AF269" s="3">
        <f>0.78+0.24</f>
        <v>1.02</v>
      </c>
      <c r="AG269" s="3">
        <f>0.19*3</f>
        <v>0.57000000000000006</v>
      </c>
      <c r="AH269" s="3">
        <v>0.2</v>
      </c>
      <c r="AI269" s="3">
        <f t="shared" si="392"/>
        <v>0.19</v>
      </c>
      <c r="AJ269" s="3">
        <f t="shared" si="382"/>
        <v>2.0020000000000002</v>
      </c>
      <c r="AK269" s="12">
        <f t="shared" si="404"/>
        <v>16.933000000000003</v>
      </c>
      <c r="AL269" s="12">
        <f t="shared" si="405"/>
        <v>16.933000000000003</v>
      </c>
      <c r="AM269" s="12">
        <f t="shared" si="406"/>
        <v>3.2172700000000005</v>
      </c>
      <c r="AN269" s="12">
        <f t="shared" si="407"/>
        <v>3.2172700000000005</v>
      </c>
      <c r="AO269" s="12" t="str">
        <f t="shared" si="408"/>
        <v/>
      </c>
      <c r="AP269" s="12">
        <f t="shared" si="409"/>
        <v>5.74</v>
      </c>
      <c r="AQ269" s="12" t="str">
        <f t="shared" si="410"/>
        <v/>
      </c>
      <c r="AR269" s="12" t="str">
        <f t="shared" si="411"/>
        <v/>
      </c>
      <c r="AS269" s="12">
        <f t="shared" si="383"/>
        <v>0.21812000000000004</v>
      </c>
      <c r="AT269" s="12">
        <f t="shared" si="379"/>
        <v>2.0020000000000002</v>
      </c>
      <c r="AU269" s="12" t="str">
        <f t="shared" si="401"/>
        <v/>
      </c>
      <c r="AV269" s="17"/>
      <c r="AX269" s="4"/>
    </row>
    <row r="270" spans="1:50" x14ac:dyDescent="0.25">
      <c r="A270" s="43" t="s">
        <v>276</v>
      </c>
      <c r="B270" s="52"/>
      <c r="C270" s="44"/>
      <c r="D270" s="43"/>
      <c r="E270" s="52"/>
      <c r="F270" s="46"/>
      <c r="G270" s="76" t="s">
        <v>351</v>
      </c>
      <c r="H270" s="48" t="s">
        <v>341</v>
      </c>
      <c r="I270" s="48"/>
      <c r="J270" s="84"/>
      <c r="K270" s="85"/>
      <c r="L270" s="47"/>
      <c r="M270" s="3">
        <v>2.1850000000000001</v>
      </c>
      <c r="N270" s="3">
        <f t="shared" si="403"/>
        <v>2.95</v>
      </c>
      <c r="O270" s="22">
        <v>0.24</v>
      </c>
      <c r="P270" s="23">
        <v>1</v>
      </c>
      <c r="Q270" s="3"/>
      <c r="R270" s="3"/>
      <c r="S270" s="3"/>
      <c r="T270" s="3"/>
      <c r="U270" s="3"/>
      <c r="V270" s="23"/>
      <c r="W270" s="3"/>
      <c r="X270" s="3"/>
      <c r="Y270" s="17"/>
      <c r="Z270" s="17"/>
      <c r="AA270" s="3"/>
      <c r="AB270" s="3"/>
      <c r="AC270" s="3"/>
      <c r="AD270" s="3"/>
      <c r="AE270" s="3">
        <f t="shared" si="381"/>
        <v>2.1850000000000001</v>
      </c>
      <c r="AF270" s="3"/>
      <c r="AG270" s="3">
        <v>0.24</v>
      </c>
      <c r="AH270" s="3">
        <v>0.2</v>
      </c>
      <c r="AI270" s="3">
        <f t="shared" si="392"/>
        <v>0.24</v>
      </c>
      <c r="AJ270" s="3">
        <f t="shared" si="382"/>
        <v>0.92200000000000015</v>
      </c>
      <c r="AK270" s="12">
        <f t="shared" si="404"/>
        <v>6.4457500000000003</v>
      </c>
      <c r="AL270" s="12">
        <f t="shared" si="405"/>
        <v>6.4457500000000003</v>
      </c>
      <c r="AM270" s="12">
        <f t="shared" si="406"/>
        <v>1.54698</v>
      </c>
      <c r="AN270" s="12">
        <f t="shared" si="407"/>
        <v>1.54698</v>
      </c>
      <c r="AO270" s="12" t="str">
        <f t="shared" si="408"/>
        <v/>
      </c>
      <c r="AP270" s="12">
        <f t="shared" si="409"/>
        <v>2.1850000000000001</v>
      </c>
      <c r="AQ270" s="12" t="str">
        <f t="shared" si="410"/>
        <v/>
      </c>
      <c r="AR270" s="12" t="str">
        <f t="shared" si="411"/>
        <v/>
      </c>
      <c r="AS270" s="12">
        <f t="shared" si="383"/>
        <v>0.10488000000000001</v>
      </c>
      <c r="AT270" s="12">
        <f t="shared" si="379"/>
        <v>0.92200000000000015</v>
      </c>
      <c r="AU270" s="12" t="str">
        <f t="shared" si="401"/>
        <v/>
      </c>
      <c r="AV270" s="17"/>
      <c r="AX270" s="4"/>
    </row>
    <row r="271" spans="1:50" x14ac:dyDescent="0.25">
      <c r="A271" s="43" t="s">
        <v>276</v>
      </c>
      <c r="B271" s="52"/>
      <c r="C271" s="44"/>
      <c r="D271" s="43"/>
      <c r="E271" s="52"/>
      <c r="F271" s="46"/>
      <c r="G271" s="76" t="s">
        <v>352</v>
      </c>
      <c r="H271" s="48" t="s">
        <v>341</v>
      </c>
      <c r="I271" s="48"/>
      <c r="J271" s="84"/>
      <c r="K271" s="85"/>
      <c r="L271" s="47"/>
      <c r="M271" s="3">
        <v>4.4450000000000003</v>
      </c>
      <c r="N271" s="3">
        <f>6.45-3.55</f>
        <v>2.9000000000000004</v>
      </c>
      <c r="O271" s="22">
        <v>0.24</v>
      </c>
      <c r="P271" s="23">
        <v>1</v>
      </c>
      <c r="Q271" s="3"/>
      <c r="R271" s="3"/>
      <c r="S271" s="3"/>
      <c r="T271" s="3"/>
      <c r="U271" s="3"/>
      <c r="V271" s="23"/>
      <c r="W271" s="3"/>
      <c r="X271" s="3"/>
      <c r="Y271" s="17"/>
      <c r="Z271" s="17"/>
      <c r="AA271" s="3"/>
      <c r="AB271" s="3"/>
      <c r="AC271" s="3"/>
      <c r="AD271" s="3"/>
      <c r="AE271" s="3">
        <f t="shared" si="381"/>
        <v>4.4450000000000003</v>
      </c>
      <c r="AF271" s="3"/>
      <c r="AG271" s="3">
        <f>0.24*2</f>
        <v>0.48</v>
      </c>
      <c r="AH271" s="3">
        <v>0.2</v>
      </c>
      <c r="AI271" s="3">
        <f t="shared" si="392"/>
        <v>0.24</v>
      </c>
      <c r="AJ271" s="3">
        <f t="shared" si="382"/>
        <v>1.8740000000000003</v>
      </c>
      <c r="AK271" s="12">
        <f t="shared" si="404"/>
        <v>12.890500000000003</v>
      </c>
      <c r="AL271" s="12">
        <f t="shared" si="405"/>
        <v>12.890500000000003</v>
      </c>
      <c r="AM271" s="12">
        <f t="shared" si="406"/>
        <v>3.0937200000000007</v>
      </c>
      <c r="AN271" s="12">
        <f t="shared" si="407"/>
        <v>3.0937200000000007</v>
      </c>
      <c r="AO271" s="12" t="str">
        <f t="shared" si="408"/>
        <v/>
      </c>
      <c r="AP271" s="12">
        <f t="shared" si="409"/>
        <v>4.4450000000000003</v>
      </c>
      <c r="AQ271" s="12" t="str">
        <f t="shared" si="410"/>
        <v/>
      </c>
      <c r="AR271" s="12" t="str">
        <f t="shared" si="411"/>
        <v/>
      </c>
      <c r="AS271" s="12">
        <f t="shared" ref="AS271:AS467" si="413">IF((AE271*AH271*AI271)*P271=0,"",(AE271*AH271*AI271)*P271)</f>
        <v>0.21336000000000002</v>
      </c>
      <c r="AT271" s="12">
        <f t="shared" si="379"/>
        <v>1.8740000000000003</v>
      </c>
      <c r="AU271" s="12" t="str">
        <f t="shared" si="401"/>
        <v/>
      </c>
      <c r="AV271" s="17"/>
      <c r="AX271" s="4"/>
    </row>
    <row r="272" spans="1:50" x14ac:dyDescent="0.25">
      <c r="A272" s="43" t="s">
        <v>276</v>
      </c>
      <c r="B272" s="52"/>
      <c r="C272" s="44"/>
      <c r="D272" s="43"/>
      <c r="E272" s="52"/>
      <c r="F272" s="46"/>
      <c r="G272" s="76" t="s">
        <v>353</v>
      </c>
      <c r="H272" s="48" t="s">
        <v>341</v>
      </c>
      <c r="I272" s="48"/>
      <c r="J272" s="84"/>
      <c r="K272" s="85"/>
      <c r="L272" s="47"/>
      <c r="M272" s="3">
        <v>4.4450000000000003</v>
      </c>
      <c r="N272" s="3">
        <f t="shared" ref="N272:N274" si="414">6.45-3.55</f>
        <v>2.9000000000000004</v>
      </c>
      <c r="O272" s="22">
        <v>0.24</v>
      </c>
      <c r="P272" s="23">
        <v>1</v>
      </c>
      <c r="Q272" s="3"/>
      <c r="R272" s="3"/>
      <c r="S272" s="3"/>
      <c r="T272" s="3"/>
      <c r="U272" s="3"/>
      <c r="V272" s="23"/>
      <c r="W272" s="3"/>
      <c r="X272" s="3"/>
      <c r="Y272" s="17"/>
      <c r="Z272" s="17"/>
      <c r="AA272" s="3"/>
      <c r="AB272" s="3"/>
      <c r="AC272" s="3"/>
      <c r="AD272" s="3"/>
      <c r="AE272" s="3">
        <f t="shared" si="381"/>
        <v>4.4450000000000003</v>
      </c>
      <c r="AF272" s="3"/>
      <c r="AG272" s="3">
        <f t="shared" ref="AG272:AG275" si="415">0.24*2</f>
        <v>0.48</v>
      </c>
      <c r="AH272" s="3">
        <v>0.2</v>
      </c>
      <c r="AI272" s="3">
        <f t="shared" si="392"/>
        <v>0.24</v>
      </c>
      <c r="AJ272" s="3">
        <f t="shared" si="382"/>
        <v>1.8740000000000003</v>
      </c>
      <c r="AK272" s="12">
        <f t="shared" si="404"/>
        <v>12.890500000000003</v>
      </c>
      <c r="AL272" s="12">
        <f t="shared" si="405"/>
        <v>12.890500000000003</v>
      </c>
      <c r="AM272" s="12">
        <f t="shared" si="406"/>
        <v>3.0937200000000007</v>
      </c>
      <c r="AN272" s="12">
        <f t="shared" si="407"/>
        <v>3.0937200000000007</v>
      </c>
      <c r="AO272" s="12" t="str">
        <f t="shared" si="408"/>
        <v/>
      </c>
      <c r="AP272" s="12">
        <f t="shared" si="409"/>
        <v>4.4450000000000003</v>
      </c>
      <c r="AQ272" s="12" t="str">
        <f t="shared" si="410"/>
        <v/>
      </c>
      <c r="AR272" s="12" t="str">
        <f t="shared" si="411"/>
        <v/>
      </c>
      <c r="AS272" s="12">
        <f t="shared" si="413"/>
        <v>0.21336000000000002</v>
      </c>
      <c r="AT272" s="12">
        <f t="shared" si="379"/>
        <v>1.8740000000000003</v>
      </c>
      <c r="AU272" s="12" t="str">
        <f t="shared" si="401"/>
        <v/>
      </c>
      <c r="AV272" s="17"/>
      <c r="AX272" s="4"/>
    </row>
    <row r="273" spans="1:50" x14ac:dyDescent="0.25">
      <c r="A273" s="43" t="s">
        <v>276</v>
      </c>
      <c r="B273" s="52"/>
      <c r="C273" s="44"/>
      <c r="D273" s="43"/>
      <c r="E273" s="52"/>
      <c r="F273" s="46"/>
      <c r="G273" s="76" t="s">
        <v>354</v>
      </c>
      <c r="H273" s="48" t="s">
        <v>341</v>
      </c>
      <c r="I273" s="48"/>
      <c r="J273" s="84"/>
      <c r="K273" s="85"/>
      <c r="L273" s="47"/>
      <c r="M273" s="3">
        <v>2.2799999999999998</v>
      </c>
      <c r="N273" s="3">
        <f t="shared" si="414"/>
        <v>2.9000000000000004</v>
      </c>
      <c r="O273" s="22">
        <v>0.24</v>
      </c>
      <c r="P273" s="23">
        <v>1</v>
      </c>
      <c r="Q273" s="3"/>
      <c r="R273" s="3"/>
      <c r="S273" s="3"/>
      <c r="T273" s="3"/>
      <c r="U273" s="3"/>
      <c r="V273" s="23"/>
      <c r="W273" s="3"/>
      <c r="X273" s="3"/>
      <c r="Y273" s="17"/>
      <c r="Z273" s="17"/>
      <c r="AA273" s="3"/>
      <c r="AB273" s="3"/>
      <c r="AC273" s="3"/>
      <c r="AD273" s="3"/>
      <c r="AE273" s="3">
        <f t="shared" si="381"/>
        <v>2.2799999999999998</v>
      </c>
      <c r="AF273" s="3"/>
      <c r="AG273" s="3">
        <f t="shared" si="415"/>
        <v>0.48</v>
      </c>
      <c r="AH273" s="3">
        <v>0.2</v>
      </c>
      <c r="AI273" s="3">
        <f t="shared" si="392"/>
        <v>0.24</v>
      </c>
      <c r="AJ273" s="3">
        <f t="shared" si="382"/>
        <v>1.0079999999999998</v>
      </c>
      <c r="AK273" s="12">
        <f t="shared" si="404"/>
        <v>6.6120000000000001</v>
      </c>
      <c r="AL273" s="12">
        <f t="shared" si="405"/>
        <v>6.6120000000000001</v>
      </c>
      <c r="AM273" s="12">
        <f t="shared" si="406"/>
        <v>1.5868800000000001</v>
      </c>
      <c r="AN273" s="12">
        <f t="shared" si="407"/>
        <v>1.5868800000000001</v>
      </c>
      <c r="AO273" s="12" t="str">
        <f t="shared" si="408"/>
        <v/>
      </c>
      <c r="AP273" s="12">
        <f t="shared" si="409"/>
        <v>2.2799999999999998</v>
      </c>
      <c r="AQ273" s="12" t="str">
        <f t="shared" si="410"/>
        <v/>
      </c>
      <c r="AR273" s="12" t="str">
        <f t="shared" si="411"/>
        <v/>
      </c>
      <c r="AS273" s="12">
        <f t="shared" si="413"/>
        <v>0.10943999999999998</v>
      </c>
      <c r="AT273" s="12">
        <f t="shared" si="379"/>
        <v>1.0079999999999998</v>
      </c>
      <c r="AU273" s="12" t="str">
        <f t="shared" si="401"/>
        <v/>
      </c>
      <c r="AV273" s="17"/>
      <c r="AX273" s="4"/>
    </row>
    <row r="274" spans="1:50" x14ac:dyDescent="0.25">
      <c r="A274" s="43" t="s">
        <v>276</v>
      </c>
      <c r="B274" s="52"/>
      <c r="C274" s="44"/>
      <c r="D274" s="43"/>
      <c r="E274" s="52"/>
      <c r="F274" s="46"/>
      <c r="G274" s="76" t="s">
        <v>355</v>
      </c>
      <c r="H274" s="48" t="s">
        <v>341</v>
      </c>
      <c r="I274" s="48"/>
      <c r="J274" s="84"/>
      <c r="K274" s="85"/>
      <c r="L274" s="47"/>
      <c r="M274" s="3">
        <v>4.4450000000000003</v>
      </c>
      <c r="N274" s="3">
        <f t="shared" si="414"/>
        <v>2.9000000000000004</v>
      </c>
      <c r="O274" s="22">
        <v>0.24</v>
      </c>
      <c r="P274" s="23">
        <v>1</v>
      </c>
      <c r="Q274" s="3"/>
      <c r="R274" s="3"/>
      <c r="S274" s="3"/>
      <c r="T274" s="3"/>
      <c r="U274" s="3"/>
      <c r="V274" s="23"/>
      <c r="W274" s="3"/>
      <c r="X274" s="3"/>
      <c r="Y274" s="17"/>
      <c r="Z274" s="17"/>
      <c r="AA274" s="3"/>
      <c r="AB274" s="3"/>
      <c r="AC274" s="3"/>
      <c r="AD274" s="3"/>
      <c r="AE274" s="3">
        <f t="shared" si="381"/>
        <v>4.4450000000000003</v>
      </c>
      <c r="AF274" s="3"/>
      <c r="AG274" s="3">
        <f t="shared" si="415"/>
        <v>0.48</v>
      </c>
      <c r="AH274" s="3">
        <v>0.2</v>
      </c>
      <c r="AI274" s="3">
        <f t="shared" si="392"/>
        <v>0.24</v>
      </c>
      <c r="AJ274" s="3">
        <f t="shared" si="382"/>
        <v>1.8740000000000003</v>
      </c>
      <c r="AK274" s="12">
        <f t="shared" si="404"/>
        <v>12.890500000000003</v>
      </c>
      <c r="AL274" s="12">
        <f t="shared" si="405"/>
        <v>12.890500000000003</v>
      </c>
      <c r="AM274" s="12">
        <f t="shared" si="406"/>
        <v>3.0937200000000007</v>
      </c>
      <c r="AN274" s="12">
        <f t="shared" si="407"/>
        <v>3.0937200000000007</v>
      </c>
      <c r="AO274" s="12" t="str">
        <f t="shared" si="408"/>
        <v/>
      </c>
      <c r="AP274" s="12">
        <f t="shared" si="409"/>
        <v>4.4450000000000003</v>
      </c>
      <c r="AQ274" s="12" t="str">
        <f t="shared" si="410"/>
        <v/>
      </c>
      <c r="AR274" s="12" t="str">
        <f t="shared" si="411"/>
        <v/>
      </c>
      <c r="AS274" s="12">
        <f t="shared" si="413"/>
        <v>0.21336000000000002</v>
      </c>
      <c r="AT274" s="12">
        <f t="shared" si="379"/>
        <v>1.8740000000000003</v>
      </c>
      <c r="AU274" s="12" t="str">
        <f t="shared" si="401"/>
        <v/>
      </c>
      <c r="AV274" s="17"/>
      <c r="AX274" s="4"/>
    </row>
    <row r="275" spans="1:50" x14ac:dyDescent="0.25">
      <c r="A275" s="43" t="s">
        <v>276</v>
      </c>
      <c r="B275" s="52"/>
      <c r="C275" s="44"/>
      <c r="D275" s="43"/>
      <c r="E275" s="52"/>
      <c r="F275" s="46"/>
      <c r="G275" s="76" t="s">
        <v>356</v>
      </c>
      <c r="H275" s="48" t="s">
        <v>341</v>
      </c>
      <c r="I275" s="48"/>
      <c r="J275" s="84"/>
      <c r="K275" s="85"/>
      <c r="L275" s="47"/>
      <c r="M275" s="3">
        <v>4.4450000000000003</v>
      </c>
      <c r="N275" s="3">
        <f>6.45-3.55</f>
        <v>2.9000000000000004</v>
      </c>
      <c r="O275" s="22">
        <v>0.24</v>
      </c>
      <c r="P275" s="23">
        <v>1</v>
      </c>
      <c r="Q275" s="3"/>
      <c r="R275" s="3"/>
      <c r="S275" s="3"/>
      <c r="T275" s="3"/>
      <c r="U275" s="3"/>
      <c r="V275" s="23"/>
      <c r="W275" s="3"/>
      <c r="X275" s="3"/>
      <c r="Y275" s="17"/>
      <c r="Z275" s="17"/>
      <c r="AA275" s="3"/>
      <c r="AB275" s="3"/>
      <c r="AC275" s="3"/>
      <c r="AD275" s="3"/>
      <c r="AE275" s="3">
        <f t="shared" si="381"/>
        <v>4.4450000000000003</v>
      </c>
      <c r="AF275" s="3"/>
      <c r="AG275" s="3">
        <f t="shared" si="415"/>
        <v>0.48</v>
      </c>
      <c r="AH275" s="3">
        <v>0.2</v>
      </c>
      <c r="AI275" s="3">
        <f t="shared" si="392"/>
        <v>0.24</v>
      </c>
      <c r="AJ275" s="3">
        <f t="shared" si="382"/>
        <v>1.8740000000000003</v>
      </c>
      <c r="AK275" s="12">
        <f t="shared" si="404"/>
        <v>12.890500000000003</v>
      </c>
      <c r="AL275" s="12">
        <f t="shared" si="405"/>
        <v>12.890500000000003</v>
      </c>
      <c r="AM275" s="12">
        <f t="shared" si="406"/>
        <v>3.0937200000000007</v>
      </c>
      <c r="AN275" s="12">
        <f t="shared" si="407"/>
        <v>3.0937200000000007</v>
      </c>
      <c r="AO275" s="12" t="str">
        <f t="shared" si="408"/>
        <v/>
      </c>
      <c r="AP275" s="12">
        <f t="shared" si="409"/>
        <v>4.4450000000000003</v>
      </c>
      <c r="AQ275" s="12" t="str">
        <f t="shared" si="410"/>
        <v/>
      </c>
      <c r="AR275" s="12" t="str">
        <f t="shared" si="411"/>
        <v/>
      </c>
      <c r="AS275" s="12">
        <f t="shared" si="413"/>
        <v>0.21336000000000002</v>
      </c>
      <c r="AT275" s="12">
        <f t="shared" si="379"/>
        <v>1.8740000000000003</v>
      </c>
      <c r="AU275" s="12" t="str">
        <f t="shared" si="401"/>
        <v/>
      </c>
      <c r="AV275" s="17"/>
      <c r="AX275" s="4"/>
    </row>
    <row r="276" spans="1:50" x14ac:dyDescent="0.25">
      <c r="A276" s="43" t="s">
        <v>276</v>
      </c>
      <c r="B276" s="52"/>
      <c r="C276" s="44"/>
      <c r="D276" s="43"/>
      <c r="E276" s="52"/>
      <c r="F276" s="46"/>
      <c r="G276" s="76" t="s">
        <v>357</v>
      </c>
      <c r="H276" s="48" t="s">
        <v>341</v>
      </c>
      <c r="I276" s="48"/>
      <c r="J276" s="84"/>
      <c r="K276" s="85"/>
      <c r="L276" s="47"/>
      <c r="M276" s="3">
        <v>2.1850000000000001</v>
      </c>
      <c r="N276" s="3">
        <f t="shared" ref="N276:N281" si="416">6.45-3.55</f>
        <v>2.9000000000000004</v>
      </c>
      <c r="O276" s="22">
        <v>0.24</v>
      </c>
      <c r="P276" s="23">
        <v>1</v>
      </c>
      <c r="Q276" s="3"/>
      <c r="R276" s="3"/>
      <c r="S276" s="3"/>
      <c r="T276" s="3"/>
      <c r="U276" s="3"/>
      <c r="V276" s="23"/>
      <c r="W276" s="3"/>
      <c r="X276" s="3"/>
      <c r="Y276" s="17"/>
      <c r="Z276" s="17"/>
      <c r="AA276" s="3"/>
      <c r="AB276" s="3"/>
      <c r="AC276" s="3"/>
      <c r="AD276" s="3"/>
      <c r="AE276" s="3">
        <f t="shared" si="381"/>
        <v>2.1850000000000001</v>
      </c>
      <c r="AF276" s="3"/>
      <c r="AG276" s="3">
        <v>0.24</v>
      </c>
      <c r="AH276" s="3">
        <v>0.2</v>
      </c>
      <c r="AI276" s="3">
        <f t="shared" si="392"/>
        <v>0.24</v>
      </c>
      <c r="AJ276" s="3">
        <f t="shared" si="382"/>
        <v>0.92200000000000015</v>
      </c>
      <c r="AK276" s="12">
        <f t="shared" si="404"/>
        <v>6.3365000000000009</v>
      </c>
      <c r="AL276" s="12">
        <f t="shared" si="405"/>
        <v>6.3365000000000009</v>
      </c>
      <c r="AM276" s="12">
        <f t="shared" si="406"/>
        <v>1.5207600000000001</v>
      </c>
      <c r="AN276" s="12">
        <f t="shared" si="407"/>
        <v>1.5207600000000001</v>
      </c>
      <c r="AO276" s="12" t="str">
        <f t="shared" si="408"/>
        <v/>
      </c>
      <c r="AP276" s="12">
        <f t="shared" si="409"/>
        <v>2.1850000000000001</v>
      </c>
      <c r="AQ276" s="12" t="str">
        <f t="shared" si="410"/>
        <v/>
      </c>
      <c r="AR276" s="12" t="str">
        <f t="shared" si="411"/>
        <v/>
      </c>
      <c r="AS276" s="12">
        <f t="shared" si="413"/>
        <v>0.10488000000000001</v>
      </c>
      <c r="AT276" s="12">
        <f t="shared" si="379"/>
        <v>0.92200000000000015</v>
      </c>
      <c r="AU276" s="12" t="str">
        <f t="shared" si="401"/>
        <v/>
      </c>
      <c r="AV276" s="17"/>
      <c r="AX276" s="4"/>
    </row>
    <row r="277" spans="1:50" x14ac:dyDescent="0.25">
      <c r="A277" s="43" t="s">
        <v>276</v>
      </c>
      <c r="B277" s="52"/>
      <c r="C277" s="44"/>
      <c r="D277" s="43"/>
      <c r="E277" s="52"/>
      <c r="F277" s="46"/>
      <c r="G277" s="76" t="s">
        <v>358</v>
      </c>
      <c r="H277" s="48" t="s">
        <v>341</v>
      </c>
      <c r="I277" s="48"/>
      <c r="J277" s="84"/>
      <c r="K277" s="85"/>
      <c r="L277" s="47"/>
      <c r="M277" s="3">
        <v>2.16</v>
      </c>
      <c r="N277" s="3">
        <f t="shared" si="416"/>
        <v>2.9000000000000004</v>
      </c>
      <c r="O277" s="22">
        <v>0.24</v>
      </c>
      <c r="P277" s="23">
        <v>1</v>
      </c>
      <c r="Q277" s="3"/>
      <c r="R277" s="3"/>
      <c r="S277" s="3"/>
      <c r="T277" s="3"/>
      <c r="U277" s="3"/>
      <c r="V277" s="23"/>
      <c r="W277" s="3"/>
      <c r="X277" s="3"/>
      <c r="Y277" s="17"/>
      <c r="Z277" s="17"/>
      <c r="AA277" s="3"/>
      <c r="AB277" s="3"/>
      <c r="AC277" s="3"/>
      <c r="AD277" s="3"/>
      <c r="AE277" s="3">
        <f t="shared" si="381"/>
        <v>2.16</v>
      </c>
      <c r="AF277" s="3"/>
      <c r="AG277" s="3"/>
      <c r="AH277" s="3">
        <v>0.2</v>
      </c>
      <c r="AI277" s="3">
        <f t="shared" si="392"/>
        <v>0.24</v>
      </c>
      <c r="AJ277" s="3">
        <f t="shared" si="382"/>
        <v>0.8640000000000001</v>
      </c>
      <c r="AK277" s="12">
        <f t="shared" si="404"/>
        <v>6.2640000000000011</v>
      </c>
      <c r="AL277" s="12">
        <f t="shared" si="405"/>
        <v>6.2640000000000011</v>
      </c>
      <c r="AM277" s="12">
        <f t="shared" si="406"/>
        <v>1.5033600000000003</v>
      </c>
      <c r="AN277" s="12">
        <f t="shared" si="407"/>
        <v>1.5033600000000003</v>
      </c>
      <c r="AO277" s="12" t="str">
        <f t="shared" si="408"/>
        <v/>
      </c>
      <c r="AP277" s="12">
        <f t="shared" si="409"/>
        <v>2.16</v>
      </c>
      <c r="AQ277" s="12" t="str">
        <f t="shared" si="410"/>
        <v/>
      </c>
      <c r="AR277" s="12" t="str">
        <f t="shared" si="411"/>
        <v/>
      </c>
      <c r="AS277" s="12">
        <f t="shared" si="413"/>
        <v>0.10368000000000001</v>
      </c>
      <c r="AT277" s="12">
        <f t="shared" si="379"/>
        <v>0.8640000000000001</v>
      </c>
      <c r="AU277" s="12" t="str">
        <f t="shared" si="401"/>
        <v/>
      </c>
      <c r="AV277" s="17"/>
      <c r="AX277" s="4"/>
    </row>
    <row r="278" spans="1:50" x14ac:dyDescent="0.25">
      <c r="A278" s="43" t="s">
        <v>276</v>
      </c>
      <c r="B278" s="52"/>
      <c r="C278" s="44"/>
      <c r="D278" s="43"/>
      <c r="E278" s="52"/>
      <c r="F278" s="46"/>
      <c r="G278" s="76" t="s">
        <v>359</v>
      </c>
      <c r="H278" s="48" t="s">
        <v>343</v>
      </c>
      <c r="I278" s="48"/>
      <c r="J278" s="84"/>
      <c r="K278" s="85"/>
      <c r="L278" s="47"/>
      <c r="M278" s="3">
        <v>2.42</v>
      </c>
      <c r="N278" s="3">
        <f t="shared" si="416"/>
        <v>2.9000000000000004</v>
      </c>
      <c r="O278" s="22">
        <v>0.19</v>
      </c>
      <c r="P278" s="23">
        <v>1</v>
      </c>
      <c r="Q278" s="3"/>
      <c r="R278" s="3"/>
      <c r="S278" s="3"/>
      <c r="T278" s="3"/>
      <c r="U278" s="3"/>
      <c r="V278" s="23"/>
      <c r="W278" s="3"/>
      <c r="X278" s="3"/>
      <c r="Y278" s="17"/>
      <c r="Z278" s="17"/>
      <c r="AA278" s="3"/>
      <c r="AB278" s="3"/>
      <c r="AC278" s="3"/>
      <c r="AD278" s="3"/>
      <c r="AE278" s="3">
        <f t="shared" si="381"/>
        <v>2.42</v>
      </c>
      <c r="AF278" s="3">
        <v>0.24</v>
      </c>
      <c r="AG278" s="3"/>
      <c r="AH278" s="3">
        <v>0.2</v>
      </c>
      <c r="AI278" s="3">
        <f t="shared" si="392"/>
        <v>0.19</v>
      </c>
      <c r="AJ278" s="3">
        <f t="shared" si="382"/>
        <v>0.87199999999999989</v>
      </c>
      <c r="AK278" s="12">
        <f t="shared" si="404"/>
        <v>7.0180000000000007</v>
      </c>
      <c r="AL278" s="12">
        <f t="shared" si="405"/>
        <v>7.0180000000000007</v>
      </c>
      <c r="AM278" s="12">
        <f t="shared" si="406"/>
        <v>1.33342</v>
      </c>
      <c r="AN278" s="12">
        <f t="shared" si="407"/>
        <v>1.33342</v>
      </c>
      <c r="AO278" s="12" t="str">
        <f t="shared" si="408"/>
        <v/>
      </c>
      <c r="AP278" s="12">
        <f t="shared" si="409"/>
        <v>2.42</v>
      </c>
      <c r="AQ278" s="12" t="str">
        <f t="shared" si="410"/>
        <v/>
      </c>
      <c r="AR278" s="12" t="str">
        <f t="shared" si="411"/>
        <v/>
      </c>
      <c r="AS278" s="12">
        <f t="shared" si="413"/>
        <v>9.196E-2</v>
      </c>
      <c r="AT278" s="12">
        <f t="shared" si="379"/>
        <v>0.87199999999999989</v>
      </c>
      <c r="AU278" s="12" t="str">
        <f t="shared" si="401"/>
        <v/>
      </c>
      <c r="AV278" s="17"/>
      <c r="AX278" s="4"/>
    </row>
    <row r="279" spans="1:50" x14ac:dyDescent="0.25">
      <c r="A279" s="43" t="s">
        <v>276</v>
      </c>
      <c r="B279" s="52"/>
      <c r="C279" s="44"/>
      <c r="D279" s="43"/>
      <c r="E279" s="52"/>
      <c r="F279" s="46"/>
      <c r="G279" s="76" t="s">
        <v>363</v>
      </c>
      <c r="H279" s="48" t="s">
        <v>343</v>
      </c>
      <c r="I279" s="48"/>
      <c r="J279" s="84"/>
      <c r="K279" s="85"/>
      <c r="L279" s="47"/>
      <c r="M279" s="3">
        <v>5.74</v>
      </c>
      <c r="N279" s="3">
        <f t="shared" si="416"/>
        <v>2.9000000000000004</v>
      </c>
      <c r="O279" s="22">
        <v>0.19</v>
      </c>
      <c r="P279" s="23">
        <v>1</v>
      </c>
      <c r="Q279" s="3"/>
      <c r="R279" s="3"/>
      <c r="S279" s="3"/>
      <c r="T279" s="3"/>
      <c r="U279" s="3"/>
      <c r="V279" s="23"/>
      <c r="W279" s="3"/>
      <c r="X279" s="3"/>
      <c r="Y279" s="17"/>
      <c r="Z279" s="17"/>
      <c r="AA279" s="3"/>
      <c r="AB279" s="3"/>
      <c r="AC279" s="3"/>
      <c r="AD279" s="3"/>
      <c r="AE279" s="3">
        <f t="shared" si="381"/>
        <v>5.74</v>
      </c>
      <c r="AF279" s="3">
        <f>0.86+0.24</f>
        <v>1.1000000000000001</v>
      </c>
      <c r="AG279" s="3">
        <f>0.19*3</f>
        <v>0.57000000000000006</v>
      </c>
      <c r="AH279" s="3">
        <v>0.2</v>
      </c>
      <c r="AI279" s="3">
        <f>0.19*3</f>
        <v>0.57000000000000006</v>
      </c>
      <c r="AJ279" s="3">
        <f t="shared" si="382"/>
        <v>1.9700000000000004</v>
      </c>
      <c r="AK279" s="12">
        <f t="shared" si="404"/>
        <v>16.646000000000004</v>
      </c>
      <c r="AL279" s="12">
        <f t="shared" si="405"/>
        <v>16.646000000000004</v>
      </c>
      <c r="AM279" s="12">
        <f t="shared" si="406"/>
        <v>3.1627400000000008</v>
      </c>
      <c r="AN279" s="12">
        <f t="shared" si="407"/>
        <v>3.1627400000000008</v>
      </c>
      <c r="AO279" s="12" t="str">
        <f t="shared" si="408"/>
        <v/>
      </c>
      <c r="AP279" s="12">
        <f t="shared" si="409"/>
        <v>5.74</v>
      </c>
      <c r="AQ279" s="12" t="str">
        <f t="shared" si="410"/>
        <v/>
      </c>
      <c r="AR279" s="12" t="str">
        <f t="shared" si="411"/>
        <v/>
      </c>
      <c r="AS279" s="12">
        <f t="shared" si="413"/>
        <v>0.65436000000000016</v>
      </c>
      <c r="AT279" s="12">
        <f t="shared" si="379"/>
        <v>1.9700000000000004</v>
      </c>
      <c r="AU279" s="12" t="str">
        <f t="shared" si="401"/>
        <v/>
      </c>
      <c r="AV279" s="17"/>
      <c r="AX279" s="4"/>
    </row>
    <row r="280" spans="1:50" x14ac:dyDescent="0.25">
      <c r="A280" s="43" t="s">
        <v>276</v>
      </c>
      <c r="B280" s="52"/>
      <c r="C280" s="44"/>
      <c r="D280" s="43"/>
      <c r="E280" s="52"/>
      <c r="F280" s="46"/>
      <c r="G280" s="76" t="s">
        <v>364</v>
      </c>
      <c r="H280" s="48" t="s">
        <v>343</v>
      </c>
      <c r="I280" s="48"/>
      <c r="J280" s="84"/>
      <c r="K280" s="85"/>
      <c r="L280" s="47"/>
      <c r="M280" s="3">
        <f>5.74-0.415</f>
        <v>5.3250000000000002</v>
      </c>
      <c r="N280" s="3">
        <f t="shared" si="416"/>
        <v>2.9000000000000004</v>
      </c>
      <c r="O280" s="22">
        <v>0.19</v>
      </c>
      <c r="P280" s="23">
        <v>1</v>
      </c>
      <c r="Q280" s="3"/>
      <c r="R280" s="3">
        <f>1*1.9</f>
        <v>1.9</v>
      </c>
      <c r="S280" s="3"/>
      <c r="T280" s="3"/>
      <c r="U280" s="3"/>
      <c r="V280" s="23"/>
      <c r="W280" s="3"/>
      <c r="X280" s="3"/>
      <c r="Y280" s="17"/>
      <c r="Z280" s="17"/>
      <c r="AA280" s="3"/>
      <c r="AB280" s="3"/>
      <c r="AC280" s="3"/>
      <c r="AD280" s="3"/>
      <c r="AE280" s="3">
        <f t="shared" si="381"/>
        <v>5.3250000000000002</v>
      </c>
      <c r="AF280" s="3">
        <f>1+0.24</f>
        <v>1.24</v>
      </c>
      <c r="AG280" s="3">
        <f>0.19*3</f>
        <v>0.57000000000000006</v>
      </c>
      <c r="AH280" s="3">
        <v>0.2</v>
      </c>
      <c r="AI280" s="3">
        <f>0.19*3</f>
        <v>0.57000000000000006</v>
      </c>
      <c r="AJ280" s="3">
        <f t="shared" si="382"/>
        <v>1.7480000000000002</v>
      </c>
      <c r="AK280" s="12">
        <f t="shared" si="404"/>
        <v>13.542500000000002</v>
      </c>
      <c r="AL280" s="12">
        <f t="shared" si="405"/>
        <v>13.542500000000002</v>
      </c>
      <c r="AM280" s="12">
        <f t="shared" si="406"/>
        <v>2.5730750000000007</v>
      </c>
      <c r="AN280" s="12">
        <f t="shared" si="407"/>
        <v>2.5730750000000007</v>
      </c>
      <c r="AO280" s="12" t="str">
        <f t="shared" si="408"/>
        <v/>
      </c>
      <c r="AP280" s="12">
        <f t="shared" si="409"/>
        <v>5.3250000000000002</v>
      </c>
      <c r="AQ280" s="12" t="str">
        <f t="shared" si="410"/>
        <v/>
      </c>
      <c r="AR280" s="12" t="str">
        <f t="shared" si="411"/>
        <v/>
      </c>
      <c r="AS280" s="12">
        <f t="shared" si="413"/>
        <v>0.6070500000000002</v>
      </c>
      <c r="AT280" s="12">
        <f t="shared" si="379"/>
        <v>1.7480000000000002</v>
      </c>
      <c r="AU280" s="12" t="str">
        <f t="shared" si="401"/>
        <v/>
      </c>
      <c r="AV280" s="17"/>
      <c r="AX280" s="4"/>
    </row>
    <row r="281" spans="1:50" x14ac:dyDescent="0.25">
      <c r="A281" s="43" t="s">
        <v>276</v>
      </c>
      <c r="B281" s="52"/>
      <c r="C281" s="44"/>
      <c r="D281" s="43"/>
      <c r="E281" s="52"/>
      <c r="F281" s="46"/>
      <c r="G281" s="76" t="s">
        <v>365</v>
      </c>
      <c r="H281" s="48" t="s">
        <v>341</v>
      </c>
      <c r="I281" s="48"/>
      <c r="J281" s="84"/>
      <c r="K281" s="85"/>
      <c r="L281" s="47"/>
      <c r="M281" s="3">
        <v>2.1850000000000001</v>
      </c>
      <c r="N281" s="3">
        <f t="shared" si="416"/>
        <v>2.9000000000000004</v>
      </c>
      <c r="O281" s="22">
        <v>0.24</v>
      </c>
      <c r="P281" s="23">
        <v>1</v>
      </c>
      <c r="Q281" s="3"/>
      <c r="R281" s="3"/>
      <c r="S281" s="3"/>
      <c r="T281" s="3"/>
      <c r="U281" s="3"/>
      <c r="V281" s="23"/>
      <c r="W281" s="3"/>
      <c r="X281" s="3"/>
      <c r="Y281" s="17"/>
      <c r="Z281" s="17"/>
      <c r="AA281" s="3"/>
      <c r="AB281" s="3"/>
      <c r="AC281" s="3"/>
      <c r="AD281" s="3"/>
      <c r="AE281" s="3">
        <f t="shared" si="381"/>
        <v>2.1850000000000001</v>
      </c>
      <c r="AF281" s="3"/>
      <c r="AG281" s="3">
        <v>0.24</v>
      </c>
      <c r="AH281" s="3">
        <v>0.2</v>
      </c>
      <c r="AI281" s="3">
        <f t="shared" ref="AI281:AI287" si="417">O281</f>
        <v>0.24</v>
      </c>
      <c r="AJ281" s="3">
        <f t="shared" si="382"/>
        <v>0.92200000000000015</v>
      </c>
      <c r="AK281" s="12">
        <f t="shared" si="404"/>
        <v>6.3365000000000009</v>
      </c>
      <c r="AL281" s="12">
        <f t="shared" si="405"/>
        <v>6.3365000000000009</v>
      </c>
      <c r="AM281" s="12">
        <f t="shared" si="406"/>
        <v>1.5207600000000001</v>
      </c>
      <c r="AN281" s="12">
        <f t="shared" si="407"/>
        <v>1.5207600000000001</v>
      </c>
      <c r="AO281" s="12" t="str">
        <f t="shared" si="408"/>
        <v/>
      </c>
      <c r="AP281" s="12">
        <f t="shared" si="409"/>
        <v>2.1850000000000001</v>
      </c>
      <c r="AQ281" s="12" t="str">
        <f t="shared" si="410"/>
        <v/>
      </c>
      <c r="AR281" s="12" t="str">
        <f t="shared" si="411"/>
        <v/>
      </c>
      <c r="AS281" s="12">
        <f t="shared" si="413"/>
        <v>0.10488000000000001</v>
      </c>
      <c r="AT281" s="12">
        <f t="shared" si="379"/>
        <v>0.92200000000000015</v>
      </c>
      <c r="AU281" s="12" t="str">
        <f t="shared" si="401"/>
        <v/>
      </c>
      <c r="AV281" s="17"/>
      <c r="AX281" s="4"/>
    </row>
    <row r="282" spans="1:50" x14ac:dyDescent="0.25">
      <c r="A282" s="43" t="s">
        <v>276</v>
      </c>
      <c r="B282" s="52"/>
      <c r="C282" s="44"/>
      <c r="D282" s="43"/>
      <c r="E282" s="52"/>
      <c r="F282" s="46"/>
      <c r="G282" s="76" t="s">
        <v>366</v>
      </c>
      <c r="H282" s="48" t="s">
        <v>341</v>
      </c>
      <c r="I282" s="48"/>
      <c r="J282" s="84"/>
      <c r="K282" s="85"/>
      <c r="L282" s="47"/>
      <c r="M282" s="3">
        <v>5.7</v>
      </c>
      <c r="N282" s="3">
        <f>6.45-3.5</f>
        <v>2.95</v>
      </c>
      <c r="O282" s="22">
        <v>0.24</v>
      </c>
      <c r="P282" s="23">
        <v>1</v>
      </c>
      <c r="Q282" s="3"/>
      <c r="R282" s="3"/>
      <c r="S282" s="3"/>
      <c r="T282" s="3"/>
      <c r="U282" s="3"/>
      <c r="V282" s="23"/>
      <c r="W282" s="3"/>
      <c r="X282" s="3"/>
      <c r="Y282" s="17"/>
      <c r="Z282" s="17"/>
      <c r="AA282" s="3"/>
      <c r="AB282" s="3"/>
      <c r="AC282" s="3"/>
      <c r="AD282" s="3"/>
      <c r="AE282" s="3">
        <f t="shared" si="381"/>
        <v>5.7</v>
      </c>
      <c r="AF282" s="3"/>
      <c r="AG282" s="3">
        <f>0.24*2</f>
        <v>0.48</v>
      </c>
      <c r="AH282" s="3">
        <v>0.2</v>
      </c>
      <c r="AI282" s="3">
        <f t="shared" si="417"/>
        <v>0.24</v>
      </c>
      <c r="AJ282" s="3">
        <f t="shared" si="382"/>
        <v>2.3760000000000003</v>
      </c>
      <c r="AK282" s="12">
        <f t="shared" si="404"/>
        <v>16.815000000000001</v>
      </c>
      <c r="AL282" s="12">
        <f t="shared" si="405"/>
        <v>16.815000000000001</v>
      </c>
      <c r="AM282" s="12">
        <f t="shared" si="406"/>
        <v>4.0356000000000005</v>
      </c>
      <c r="AN282" s="12">
        <f t="shared" si="407"/>
        <v>4.0356000000000005</v>
      </c>
      <c r="AO282" s="12" t="str">
        <f t="shared" si="408"/>
        <v/>
      </c>
      <c r="AP282" s="12">
        <f t="shared" si="409"/>
        <v>5.7</v>
      </c>
      <c r="AQ282" s="12" t="str">
        <f t="shared" si="410"/>
        <v/>
      </c>
      <c r="AR282" s="12" t="str">
        <f t="shared" si="411"/>
        <v/>
      </c>
      <c r="AS282" s="12">
        <f t="shared" si="413"/>
        <v>0.27360000000000001</v>
      </c>
      <c r="AT282" s="12">
        <f t="shared" si="379"/>
        <v>2.3760000000000003</v>
      </c>
      <c r="AU282" s="12" t="str">
        <f t="shared" si="401"/>
        <v/>
      </c>
      <c r="AV282" s="17"/>
      <c r="AX282" s="4"/>
    </row>
    <row r="283" spans="1:50" x14ac:dyDescent="0.25">
      <c r="A283" s="43" t="s">
        <v>276</v>
      </c>
      <c r="B283" s="52"/>
      <c r="C283" s="44"/>
      <c r="D283" s="43"/>
      <c r="E283" s="52"/>
      <c r="F283" s="46"/>
      <c r="G283" s="76" t="s">
        <v>367</v>
      </c>
      <c r="H283" s="48" t="s">
        <v>341</v>
      </c>
      <c r="I283" s="48"/>
      <c r="J283" s="84"/>
      <c r="K283" s="85"/>
      <c r="L283" s="47"/>
      <c r="M283" s="3">
        <v>0.94</v>
      </c>
      <c r="N283" s="3">
        <f t="shared" ref="N283:N287" si="418">6.45-3.5</f>
        <v>2.95</v>
      </c>
      <c r="O283" s="22">
        <v>0.24</v>
      </c>
      <c r="P283" s="23">
        <v>1</v>
      </c>
      <c r="Q283" s="3"/>
      <c r="R283" s="3"/>
      <c r="S283" s="3"/>
      <c r="T283" s="3"/>
      <c r="U283" s="3"/>
      <c r="V283" s="23"/>
      <c r="W283" s="3"/>
      <c r="X283" s="3"/>
      <c r="Y283" s="17"/>
      <c r="Z283" s="17"/>
      <c r="AA283" s="3"/>
      <c r="AB283" s="3"/>
      <c r="AC283" s="3"/>
      <c r="AD283" s="3"/>
      <c r="AE283" s="3">
        <f t="shared" si="381"/>
        <v>0.94</v>
      </c>
      <c r="AF283" s="3"/>
      <c r="AG283" s="3">
        <f t="shared" ref="AG283:AG287" si="419">0.24*2</f>
        <v>0.48</v>
      </c>
      <c r="AH283" s="3">
        <v>0.2</v>
      </c>
      <c r="AI283" s="3">
        <f t="shared" si="417"/>
        <v>0.24</v>
      </c>
      <c r="AJ283" s="3">
        <f t="shared" si="382"/>
        <v>0.47199999999999998</v>
      </c>
      <c r="AK283" s="12">
        <f t="shared" si="404"/>
        <v>2.7730000000000001</v>
      </c>
      <c r="AL283" s="12">
        <f t="shared" si="405"/>
        <v>2.7730000000000001</v>
      </c>
      <c r="AM283" s="12">
        <f t="shared" si="406"/>
        <v>0.66552</v>
      </c>
      <c r="AN283" s="12">
        <f t="shared" si="407"/>
        <v>0.66552</v>
      </c>
      <c r="AO283" s="12" t="str">
        <f t="shared" si="408"/>
        <v/>
      </c>
      <c r="AP283" s="12">
        <f t="shared" si="409"/>
        <v>0.94</v>
      </c>
      <c r="AQ283" s="12" t="str">
        <f t="shared" si="410"/>
        <v/>
      </c>
      <c r="AR283" s="12" t="str">
        <f t="shared" si="411"/>
        <v/>
      </c>
      <c r="AS283" s="12">
        <f t="shared" si="413"/>
        <v>4.512E-2</v>
      </c>
      <c r="AT283" s="12">
        <f t="shared" si="379"/>
        <v>0.47199999999999998</v>
      </c>
      <c r="AU283" s="12" t="str">
        <f t="shared" si="401"/>
        <v/>
      </c>
      <c r="AV283" s="17"/>
      <c r="AX283" s="4"/>
    </row>
    <row r="284" spans="1:50" x14ac:dyDescent="0.25">
      <c r="A284" s="43" t="s">
        <v>276</v>
      </c>
      <c r="B284" s="52"/>
      <c r="C284" s="44"/>
      <c r="D284" s="43"/>
      <c r="E284" s="52"/>
      <c r="F284" s="46"/>
      <c r="G284" s="76" t="s">
        <v>368</v>
      </c>
      <c r="H284" s="48" t="s">
        <v>341</v>
      </c>
      <c r="I284" s="48"/>
      <c r="J284" s="84"/>
      <c r="K284" s="85"/>
      <c r="L284" s="47"/>
      <c r="M284" s="3">
        <v>4.4450000000000003</v>
      </c>
      <c r="N284" s="3">
        <f t="shared" si="418"/>
        <v>2.95</v>
      </c>
      <c r="O284" s="22">
        <v>0.24</v>
      </c>
      <c r="P284" s="23">
        <v>1</v>
      </c>
      <c r="Q284" s="3"/>
      <c r="R284" s="3"/>
      <c r="S284" s="3"/>
      <c r="T284" s="3"/>
      <c r="U284" s="3"/>
      <c r="V284" s="23"/>
      <c r="W284" s="3"/>
      <c r="X284" s="3"/>
      <c r="Y284" s="17"/>
      <c r="Z284" s="17"/>
      <c r="AA284" s="3"/>
      <c r="AB284" s="3"/>
      <c r="AC284" s="3"/>
      <c r="AD284" s="3"/>
      <c r="AE284" s="3">
        <f t="shared" si="381"/>
        <v>4.4450000000000003</v>
      </c>
      <c r="AF284" s="3"/>
      <c r="AG284" s="3">
        <f t="shared" si="419"/>
        <v>0.48</v>
      </c>
      <c r="AH284" s="3">
        <v>0.2</v>
      </c>
      <c r="AI284" s="3">
        <f t="shared" si="417"/>
        <v>0.24</v>
      </c>
      <c r="AJ284" s="3">
        <f t="shared" si="382"/>
        <v>1.8740000000000003</v>
      </c>
      <c r="AK284" s="12">
        <f t="shared" si="404"/>
        <v>13.112750000000002</v>
      </c>
      <c r="AL284" s="12">
        <f t="shared" si="405"/>
        <v>13.112750000000002</v>
      </c>
      <c r="AM284" s="12">
        <f t="shared" si="406"/>
        <v>3.1470600000000002</v>
      </c>
      <c r="AN284" s="12">
        <f t="shared" si="407"/>
        <v>3.1470600000000002</v>
      </c>
      <c r="AO284" s="12" t="str">
        <f t="shared" si="408"/>
        <v/>
      </c>
      <c r="AP284" s="12">
        <f t="shared" si="409"/>
        <v>4.4450000000000003</v>
      </c>
      <c r="AQ284" s="12" t="str">
        <f t="shared" si="410"/>
        <v/>
      </c>
      <c r="AR284" s="12" t="str">
        <f t="shared" si="411"/>
        <v/>
      </c>
      <c r="AS284" s="12">
        <f t="shared" si="413"/>
        <v>0.21336000000000002</v>
      </c>
      <c r="AT284" s="12">
        <f t="shared" si="379"/>
        <v>1.8740000000000003</v>
      </c>
      <c r="AU284" s="12" t="str">
        <f t="shared" si="401"/>
        <v/>
      </c>
      <c r="AV284" s="17"/>
      <c r="AX284" s="4"/>
    </row>
    <row r="285" spans="1:50" x14ac:dyDescent="0.25">
      <c r="A285" s="43" t="s">
        <v>276</v>
      </c>
      <c r="B285" s="52"/>
      <c r="C285" s="44"/>
      <c r="D285" s="43"/>
      <c r="E285" s="52"/>
      <c r="F285" s="46"/>
      <c r="G285" s="76" t="s">
        <v>369</v>
      </c>
      <c r="H285" s="48" t="s">
        <v>341</v>
      </c>
      <c r="I285" s="48"/>
      <c r="J285" s="84"/>
      <c r="K285" s="85"/>
      <c r="L285" s="47"/>
      <c r="M285" s="3">
        <v>4.4450000000000003</v>
      </c>
      <c r="N285" s="3">
        <f t="shared" si="418"/>
        <v>2.95</v>
      </c>
      <c r="O285" s="22">
        <v>0.24</v>
      </c>
      <c r="P285" s="23">
        <v>1</v>
      </c>
      <c r="Q285" s="3"/>
      <c r="R285" s="3"/>
      <c r="S285" s="3"/>
      <c r="T285" s="3"/>
      <c r="U285" s="3"/>
      <c r="V285" s="23"/>
      <c r="W285" s="3"/>
      <c r="X285" s="3"/>
      <c r="Y285" s="17"/>
      <c r="Z285" s="17"/>
      <c r="AA285" s="3"/>
      <c r="AB285" s="3"/>
      <c r="AC285" s="3"/>
      <c r="AD285" s="3"/>
      <c r="AE285" s="3">
        <f t="shared" si="381"/>
        <v>4.4450000000000003</v>
      </c>
      <c r="AF285" s="3"/>
      <c r="AG285" s="3">
        <f t="shared" si="419"/>
        <v>0.48</v>
      </c>
      <c r="AH285" s="3">
        <v>0.2</v>
      </c>
      <c r="AI285" s="3">
        <f t="shared" si="417"/>
        <v>0.24</v>
      </c>
      <c r="AJ285" s="3">
        <f t="shared" si="382"/>
        <v>1.8740000000000003</v>
      </c>
      <c r="AK285" s="12">
        <f t="shared" si="404"/>
        <v>13.112750000000002</v>
      </c>
      <c r="AL285" s="12">
        <f t="shared" si="405"/>
        <v>13.112750000000002</v>
      </c>
      <c r="AM285" s="12">
        <f t="shared" si="406"/>
        <v>3.1470600000000002</v>
      </c>
      <c r="AN285" s="12">
        <f t="shared" si="407"/>
        <v>3.1470600000000002</v>
      </c>
      <c r="AO285" s="12" t="str">
        <f t="shared" si="408"/>
        <v/>
      </c>
      <c r="AP285" s="12">
        <f t="shared" si="409"/>
        <v>4.4450000000000003</v>
      </c>
      <c r="AQ285" s="12" t="str">
        <f t="shared" si="410"/>
        <v/>
      </c>
      <c r="AR285" s="12" t="str">
        <f t="shared" si="411"/>
        <v/>
      </c>
      <c r="AS285" s="12">
        <f t="shared" si="413"/>
        <v>0.21336000000000002</v>
      </c>
      <c r="AT285" s="12">
        <f t="shared" si="379"/>
        <v>1.8740000000000003</v>
      </c>
      <c r="AU285" s="12" t="str">
        <f t="shared" si="401"/>
        <v/>
      </c>
      <c r="AV285" s="17"/>
      <c r="AX285" s="4"/>
    </row>
    <row r="286" spans="1:50" x14ac:dyDescent="0.25">
      <c r="A286" s="43" t="s">
        <v>276</v>
      </c>
      <c r="B286" s="52"/>
      <c r="C286" s="44"/>
      <c r="D286" s="43"/>
      <c r="E286" s="52"/>
      <c r="F286" s="46"/>
      <c r="G286" s="76" t="s">
        <v>370</v>
      </c>
      <c r="H286" s="48" t="s">
        <v>341</v>
      </c>
      <c r="I286" s="48"/>
      <c r="J286" s="84"/>
      <c r="K286" s="85"/>
      <c r="L286" s="47"/>
      <c r="M286" s="3">
        <v>2.3650000000000002</v>
      </c>
      <c r="N286" s="3">
        <f t="shared" si="418"/>
        <v>2.95</v>
      </c>
      <c r="O286" s="22">
        <v>0.24</v>
      </c>
      <c r="P286" s="23">
        <v>1</v>
      </c>
      <c r="Q286" s="3"/>
      <c r="R286" s="3"/>
      <c r="S286" s="3"/>
      <c r="T286" s="3"/>
      <c r="U286" s="3"/>
      <c r="V286" s="23"/>
      <c r="W286" s="3"/>
      <c r="X286" s="3"/>
      <c r="Y286" s="17"/>
      <c r="Z286" s="17"/>
      <c r="AA286" s="3"/>
      <c r="AB286" s="3"/>
      <c r="AC286" s="3"/>
      <c r="AD286" s="3"/>
      <c r="AE286" s="3">
        <f t="shared" si="381"/>
        <v>2.3650000000000002</v>
      </c>
      <c r="AF286" s="3"/>
      <c r="AG286" s="3">
        <f t="shared" si="419"/>
        <v>0.48</v>
      </c>
      <c r="AH286" s="3">
        <v>0.2</v>
      </c>
      <c r="AI286" s="3">
        <f t="shared" si="417"/>
        <v>0.24</v>
      </c>
      <c r="AJ286" s="3">
        <f t="shared" si="382"/>
        <v>1.0420000000000003</v>
      </c>
      <c r="AK286" s="12">
        <f t="shared" si="404"/>
        <v>6.9767500000000009</v>
      </c>
      <c r="AL286" s="12">
        <f t="shared" si="405"/>
        <v>6.9767500000000009</v>
      </c>
      <c r="AM286" s="12">
        <f t="shared" si="406"/>
        <v>1.6744200000000002</v>
      </c>
      <c r="AN286" s="12">
        <f t="shared" si="407"/>
        <v>1.6744200000000002</v>
      </c>
      <c r="AO286" s="12" t="str">
        <f t="shared" si="408"/>
        <v/>
      </c>
      <c r="AP286" s="12">
        <f t="shared" si="409"/>
        <v>2.3650000000000002</v>
      </c>
      <c r="AQ286" s="12" t="str">
        <f t="shared" si="410"/>
        <v/>
      </c>
      <c r="AR286" s="12" t="str">
        <f t="shared" si="411"/>
        <v/>
      </c>
      <c r="AS286" s="12">
        <f t="shared" si="413"/>
        <v>0.11352000000000001</v>
      </c>
      <c r="AT286" s="12">
        <f t="shared" si="379"/>
        <v>1.0420000000000003</v>
      </c>
      <c r="AU286" s="12" t="str">
        <f t="shared" si="401"/>
        <v/>
      </c>
      <c r="AV286" s="17"/>
      <c r="AX286" s="4"/>
    </row>
    <row r="287" spans="1:50" x14ac:dyDescent="0.25">
      <c r="A287" s="43" t="s">
        <v>276</v>
      </c>
      <c r="B287" s="52"/>
      <c r="C287" s="44"/>
      <c r="D287" s="43"/>
      <c r="E287" s="52"/>
      <c r="F287" s="46"/>
      <c r="G287" s="76" t="s">
        <v>371</v>
      </c>
      <c r="H287" s="48" t="s">
        <v>341</v>
      </c>
      <c r="I287" s="48"/>
      <c r="J287" s="84"/>
      <c r="K287" s="85"/>
      <c r="L287" s="47"/>
      <c r="M287" s="3">
        <v>5.5549999999999997</v>
      </c>
      <c r="N287" s="3">
        <f t="shared" si="418"/>
        <v>2.95</v>
      </c>
      <c r="O287" s="22">
        <v>0.24</v>
      </c>
      <c r="P287" s="23">
        <v>1</v>
      </c>
      <c r="Q287" s="3"/>
      <c r="R287" s="3"/>
      <c r="S287" s="3"/>
      <c r="T287" s="3"/>
      <c r="U287" s="3"/>
      <c r="V287" s="23"/>
      <c r="W287" s="3"/>
      <c r="X287" s="3"/>
      <c r="Y287" s="17"/>
      <c r="Z287" s="17"/>
      <c r="AA287" s="3"/>
      <c r="AB287" s="3"/>
      <c r="AC287" s="3"/>
      <c r="AD287" s="3"/>
      <c r="AE287" s="3">
        <f t="shared" si="381"/>
        <v>5.5549999999999997</v>
      </c>
      <c r="AF287" s="3"/>
      <c r="AG287" s="3">
        <f t="shared" si="419"/>
        <v>0.48</v>
      </c>
      <c r="AH287" s="3">
        <v>0.2</v>
      </c>
      <c r="AI287" s="3">
        <f t="shared" si="417"/>
        <v>0.24</v>
      </c>
      <c r="AJ287" s="3">
        <f t="shared" si="382"/>
        <v>2.3180000000000001</v>
      </c>
      <c r="AK287" s="12">
        <f t="shared" si="404"/>
        <v>16.387250000000002</v>
      </c>
      <c r="AL287" s="12">
        <f t="shared" si="405"/>
        <v>16.387250000000002</v>
      </c>
      <c r="AM287" s="12">
        <f t="shared" si="406"/>
        <v>3.9329400000000003</v>
      </c>
      <c r="AN287" s="12">
        <f t="shared" si="407"/>
        <v>3.9329400000000003</v>
      </c>
      <c r="AO287" s="12" t="str">
        <f t="shared" si="408"/>
        <v/>
      </c>
      <c r="AP287" s="12">
        <f t="shared" si="409"/>
        <v>5.5549999999999997</v>
      </c>
      <c r="AQ287" s="12" t="str">
        <f t="shared" si="410"/>
        <v/>
      </c>
      <c r="AR287" s="12" t="str">
        <f t="shared" si="411"/>
        <v/>
      </c>
      <c r="AS287" s="12">
        <f t="shared" si="413"/>
        <v>0.26663999999999999</v>
      </c>
      <c r="AT287" s="12">
        <f t="shared" si="379"/>
        <v>2.3180000000000001</v>
      </c>
      <c r="AU287" s="12" t="str">
        <f t="shared" si="401"/>
        <v/>
      </c>
      <c r="AV287" s="17"/>
      <c r="AX287" s="4"/>
    </row>
    <row r="288" spans="1:50" x14ac:dyDescent="0.25">
      <c r="A288" s="43" t="s">
        <v>276</v>
      </c>
      <c r="B288" s="52" t="s">
        <v>519</v>
      </c>
      <c r="C288" s="44"/>
      <c r="D288" s="43"/>
      <c r="E288" s="52" t="s">
        <v>517</v>
      </c>
      <c r="F288" s="46"/>
      <c r="G288" s="76" t="s">
        <v>672</v>
      </c>
      <c r="H288" s="48" t="s">
        <v>1096</v>
      </c>
      <c r="I288" s="48"/>
      <c r="J288" s="84" t="s">
        <v>1129</v>
      </c>
      <c r="K288" s="85"/>
      <c r="L288" s="47"/>
      <c r="M288" s="3">
        <v>4.32</v>
      </c>
      <c r="N288" s="3">
        <f>6.45-3.8</f>
        <v>2.6500000000000004</v>
      </c>
      <c r="O288" s="22">
        <v>0.155</v>
      </c>
      <c r="P288" s="23">
        <v>1</v>
      </c>
      <c r="Q288" s="3"/>
      <c r="R288" s="3"/>
      <c r="S288" s="3"/>
      <c r="T288" s="3"/>
      <c r="U288" s="3"/>
      <c r="V288" s="23"/>
      <c r="W288" s="3"/>
      <c r="X288" s="3"/>
      <c r="Y288" s="17"/>
      <c r="Z288" s="17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12">
        <f t="shared" ref="AK288:AK361" si="420">IF(((M288*N288)-Q288-R288-S288+T288+U288)=0,"",((M288*N288)-Q288-R288-S288+T288+U288))</f>
        <v>11.448000000000002</v>
      </c>
      <c r="AL288" s="12">
        <f t="shared" ref="AL288:AL361" si="421">IF(PRODUCT(P288,AK288)=0,"",P288*AK288)</f>
        <v>11.448000000000002</v>
      </c>
      <c r="AM288" s="12">
        <f t="shared" ref="AM288:AM361" si="422">IF(PRODUCT(AK288,O288)=0,"",AK288*O288)</f>
        <v>1.7744400000000002</v>
      </c>
      <c r="AN288" s="12">
        <f t="shared" ref="AN288:AN361" si="423">IF(PRODUCT(AM288,P288)=0,"",AM288*P288)</f>
        <v>1.7744400000000002</v>
      </c>
      <c r="AO288" s="12" t="str">
        <f t="shared" ref="AO288:AO361" si="424">IF(N288*V288-W288+X288=0,"",N288*V288-W288+X288)</f>
        <v/>
      </c>
      <c r="AP288" s="12">
        <f t="shared" ref="AP288:AP361" si="425">IF(PRODUCT(M288,P288)=0,"",M288*P288)</f>
        <v>4.32</v>
      </c>
      <c r="AQ288" s="12" t="str">
        <f t="shared" ref="AQ288:AQ361" si="426">IF(AA288+AB288=0,"",AA288+AB288)</f>
        <v/>
      </c>
      <c r="AR288" s="12" t="str">
        <f t="shared" ref="AR288:AR361" si="427">IF(AC288+AD288=0,"",AC288+AD288)</f>
        <v/>
      </c>
      <c r="AS288" s="12" t="str">
        <f t="shared" ref="AS288:AS361" si="428">IF((AE288*AH288*AI288)*P288=0,"",(AE288*AH288*AI288)*P288)</f>
        <v/>
      </c>
      <c r="AT288" s="12" t="str">
        <f t="shared" ref="AT288:AT361" si="429">IF(AJ288*P288=0,"",AJ288*P288)</f>
        <v/>
      </c>
      <c r="AU288" s="12" t="str">
        <f t="shared" ref="AU288:AU361" si="430">IF(OR(H288="s1",H288="s2",H288="s3",H288="s4",H288="s4*",H288="s5",H288="s12",H288="s16"),IF(M288&gt;=4,M288,""),"")</f>
        <v/>
      </c>
      <c r="AV288" s="17"/>
      <c r="AX288" s="4"/>
    </row>
    <row r="289" spans="1:50" x14ac:dyDescent="0.25">
      <c r="A289" s="43" t="s">
        <v>276</v>
      </c>
      <c r="B289" s="52" t="s">
        <v>518</v>
      </c>
      <c r="C289" s="44"/>
      <c r="D289" s="43"/>
      <c r="E289" s="52" t="s">
        <v>718</v>
      </c>
      <c r="F289" s="46"/>
      <c r="G289" s="76" t="s">
        <v>694</v>
      </c>
      <c r="H289" s="48" t="s">
        <v>1094</v>
      </c>
      <c r="I289" s="48"/>
      <c r="J289" s="84"/>
      <c r="K289" s="85"/>
      <c r="L289" s="47"/>
      <c r="M289" s="3">
        <v>0.2</v>
      </c>
      <c r="N289" s="3">
        <f>6.2-3.55</f>
        <v>2.6500000000000004</v>
      </c>
      <c r="O289" s="22">
        <v>0.24</v>
      </c>
      <c r="P289" s="23">
        <v>2</v>
      </c>
      <c r="Q289" s="3"/>
      <c r="R289" s="3"/>
      <c r="S289" s="3"/>
      <c r="T289" s="3"/>
      <c r="U289" s="3"/>
      <c r="V289" s="23"/>
      <c r="W289" s="3"/>
      <c r="X289" s="3"/>
      <c r="Y289" s="17"/>
      <c r="Z289" s="17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12">
        <f t="shared" si="420"/>
        <v>0.53000000000000014</v>
      </c>
      <c r="AL289" s="12">
        <f t="shared" si="421"/>
        <v>1.0600000000000003</v>
      </c>
      <c r="AM289" s="12">
        <f t="shared" si="422"/>
        <v>0.12720000000000004</v>
      </c>
      <c r="AN289" s="12">
        <f t="shared" si="423"/>
        <v>0.25440000000000007</v>
      </c>
      <c r="AO289" s="12" t="str">
        <f t="shared" si="424"/>
        <v/>
      </c>
      <c r="AP289" s="12">
        <f t="shared" si="425"/>
        <v>0.4</v>
      </c>
      <c r="AQ289" s="12" t="str">
        <f t="shared" si="426"/>
        <v/>
      </c>
      <c r="AR289" s="12" t="str">
        <f t="shared" si="427"/>
        <v/>
      </c>
      <c r="AS289" s="12" t="str">
        <f t="shared" si="428"/>
        <v/>
      </c>
      <c r="AT289" s="12" t="str">
        <f t="shared" si="429"/>
        <v/>
      </c>
      <c r="AU289" s="12" t="str">
        <f t="shared" si="430"/>
        <v/>
      </c>
      <c r="AV289" s="17"/>
      <c r="AX289" s="4"/>
    </row>
    <row r="290" spans="1:50" x14ac:dyDescent="0.25">
      <c r="A290" s="43" t="s">
        <v>276</v>
      </c>
      <c r="B290" s="52" t="s">
        <v>520</v>
      </c>
      <c r="C290" s="44"/>
      <c r="D290" s="43"/>
      <c r="E290" s="52" t="s">
        <v>524</v>
      </c>
      <c r="F290" s="46"/>
      <c r="G290" s="76" t="s">
        <v>695</v>
      </c>
      <c r="H290" s="48" t="s">
        <v>1097</v>
      </c>
      <c r="I290" s="48"/>
      <c r="J290" s="84" t="s">
        <v>1132</v>
      </c>
      <c r="K290" s="85"/>
      <c r="L290" s="47"/>
      <c r="M290" s="3">
        <f>3.8+0.2</f>
        <v>4</v>
      </c>
      <c r="N290" s="3">
        <f>6.45-3.55</f>
        <v>2.9000000000000004</v>
      </c>
      <c r="O290" s="22">
        <v>0.15</v>
      </c>
      <c r="P290" s="23">
        <v>1</v>
      </c>
      <c r="Q290" s="3"/>
      <c r="R290" s="3"/>
      <c r="S290" s="3"/>
      <c r="T290" s="3"/>
      <c r="U290" s="3"/>
      <c r="V290" s="23"/>
      <c r="W290" s="3"/>
      <c r="X290" s="3"/>
      <c r="Y290" s="17"/>
      <c r="Z290" s="17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12">
        <f t="shared" si="420"/>
        <v>11.600000000000001</v>
      </c>
      <c r="AL290" s="12">
        <f t="shared" si="421"/>
        <v>11.600000000000001</v>
      </c>
      <c r="AM290" s="12">
        <f t="shared" si="422"/>
        <v>1.7400000000000002</v>
      </c>
      <c r="AN290" s="12">
        <f t="shared" si="423"/>
        <v>1.7400000000000002</v>
      </c>
      <c r="AO290" s="12" t="str">
        <f t="shared" si="424"/>
        <v/>
      </c>
      <c r="AP290" s="12">
        <f t="shared" si="425"/>
        <v>4</v>
      </c>
      <c r="AQ290" s="12" t="str">
        <f t="shared" si="426"/>
        <v/>
      </c>
      <c r="AR290" s="12" t="str">
        <f t="shared" si="427"/>
        <v/>
      </c>
      <c r="AS290" s="12" t="str">
        <f t="shared" si="428"/>
        <v/>
      </c>
      <c r="AT290" s="12" t="str">
        <f t="shared" si="429"/>
        <v/>
      </c>
      <c r="AU290" s="12" t="str">
        <f t="shared" si="430"/>
        <v/>
      </c>
      <c r="AV290" s="17"/>
      <c r="AX290" s="4"/>
    </row>
    <row r="291" spans="1:50" x14ac:dyDescent="0.25">
      <c r="A291" s="43" t="s">
        <v>276</v>
      </c>
      <c r="B291" s="52" t="s">
        <v>520</v>
      </c>
      <c r="C291" s="44"/>
      <c r="D291" s="43"/>
      <c r="E291" s="52" t="s">
        <v>521</v>
      </c>
      <c r="F291" s="46"/>
      <c r="G291" s="76" t="s">
        <v>696</v>
      </c>
      <c r="H291" s="48" t="s">
        <v>1097</v>
      </c>
      <c r="I291" s="48"/>
      <c r="J291" s="84" t="s">
        <v>1125</v>
      </c>
      <c r="K291" s="85"/>
      <c r="L291" s="47"/>
      <c r="M291" s="3">
        <v>2.8</v>
      </c>
      <c r="N291" s="3">
        <f>6.45-3.55</f>
        <v>2.9000000000000004</v>
      </c>
      <c r="O291" s="22">
        <v>0.15</v>
      </c>
      <c r="P291" s="23">
        <v>1</v>
      </c>
      <c r="Q291" s="3"/>
      <c r="R291" s="3"/>
      <c r="S291" s="3"/>
      <c r="T291" s="3"/>
      <c r="U291" s="3"/>
      <c r="V291" s="23"/>
      <c r="W291" s="3"/>
      <c r="X291" s="3"/>
      <c r="Y291" s="17"/>
      <c r="Z291" s="17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12">
        <f t="shared" si="420"/>
        <v>8.120000000000001</v>
      </c>
      <c r="AL291" s="12">
        <f t="shared" si="421"/>
        <v>8.120000000000001</v>
      </c>
      <c r="AM291" s="12">
        <f t="shared" si="422"/>
        <v>1.2180000000000002</v>
      </c>
      <c r="AN291" s="12">
        <f t="shared" si="423"/>
        <v>1.2180000000000002</v>
      </c>
      <c r="AO291" s="12" t="str">
        <f t="shared" si="424"/>
        <v/>
      </c>
      <c r="AP291" s="12">
        <f t="shared" si="425"/>
        <v>2.8</v>
      </c>
      <c r="AQ291" s="12" t="str">
        <f t="shared" si="426"/>
        <v/>
      </c>
      <c r="AR291" s="12" t="str">
        <f t="shared" si="427"/>
        <v/>
      </c>
      <c r="AS291" s="12" t="str">
        <f t="shared" si="428"/>
        <v/>
      </c>
      <c r="AT291" s="12" t="str">
        <f t="shared" si="429"/>
        <v/>
      </c>
      <c r="AU291" s="12" t="str">
        <f t="shared" si="430"/>
        <v/>
      </c>
      <c r="AV291" s="17"/>
      <c r="AX291" s="4"/>
    </row>
    <row r="292" spans="1:50" x14ac:dyDescent="0.25">
      <c r="A292" s="43" t="s">
        <v>276</v>
      </c>
      <c r="B292" s="52" t="s">
        <v>524</v>
      </c>
      <c r="C292" s="44"/>
      <c r="D292" s="43"/>
      <c r="E292" s="52" t="s">
        <v>523</v>
      </c>
      <c r="F292" s="46"/>
      <c r="G292" s="76" t="s">
        <v>697</v>
      </c>
      <c r="H292" s="48" t="s">
        <v>1092</v>
      </c>
      <c r="I292" s="48"/>
      <c r="J292" s="84" t="s">
        <v>1131</v>
      </c>
      <c r="K292" s="85"/>
      <c r="L292" s="47" t="s">
        <v>567</v>
      </c>
      <c r="M292" s="3">
        <v>2.3199999999999998</v>
      </c>
      <c r="N292" s="3">
        <f t="shared" ref="N292:N310" si="431">6.45-3.55</f>
        <v>2.9000000000000004</v>
      </c>
      <c r="O292" s="22">
        <v>0.2</v>
      </c>
      <c r="P292" s="23">
        <v>1</v>
      </c>
      <c r="Q292" s="3"/>
      <c r="R292" s="3"/>
      <c r="S292" s="3"/>
      <c r="T292" s="3"/>
      <c r="U292" s="3"/>
      <c r="V292" s="23"/>
      <c r="W292" s="3"/>
      <c r="X292" s="3"/>
      <c r="Y292" s="17"/>
      <c r="Z292" s="17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12">
        <f t="shared" si="420"/>
        <v>6.7280000000000006</v>
      </c>
      <c r="AL292" s="12">
        <f t="shared" si="421"/>
        <v>6.7280000000000006</v>
      </c>
      <c r="AM292" s="12">
        <f t="shared" si="422"/>
        <v>1.3456000000000001</v>
      </c>
      <c r="AN292" s="12">
        <f t="shared" si="423"/>
        <v>1.3456000000000001</v>
      </c>
      <c r="AO292" s="12" t="str">
        <f t="shared" si="424"/>
        <v/>
      </c>
      <c r="AP292" s="12">
        <f t="shared" si="425"/>
        <v>2.3199999999999998</v>
      </c>
      <c r="AQ292" s="12" t="str">
        <f t="shared" si="426"/>
        <v/>
      </c>
      <c r="AR292" s="12" t="str">
        <f t="shared" si="427"/>
        <v/>
      </c>
      <c r="AS292" s="12" t="str">
        <f t="shared" si="428"/>
        <v/>
      </c>
      <c r="AT292" s="12" t="str">
        <f t="shared" si="429"/>
        <v/>
      </c>
      <c r="AU292" s="12" t="str">
        <f t="shared" si="430"/>
        <v/>
      </c>
      <c r="AV292" s="17"/>
      <c r="AX292" s="4"/>
    </row>
    <row r="293" spans="1:50" x14ac:dyDescent="0.25">
      <c r="A293" s="43" t="s">
        <v>276</v>
      </c>
      <c r="B293" s="52" t="s">
        <v>524</v>
      </c>
      <c r="C293" s="44"/>
      <c r="D293" s="43"/>
      <c r="E293" s="52" t="s">
        <v>521</v>
      </c>
      <c r="F293" s="46"/>
      <c r="G293" s="76" t="s">
        <v>1102</v>
      </c>
      <c r="H293" s="48" t="s">
        <v>1103</v>
      </c>
      <c r="I293" s="48"/>
      <c r="J293" s="84" t="s">
        <v>1145</v>
      </c>
      <c r="K293" s="85"/>
      <c r="L293" s="47" t="s">
        <v>567</v>
      </c>
      <c r="M293" s="3">
        <v>1.55</v>
      </c>
      <c r="N293" s="3">
        <f t="shared" si="431"/>
        <v>2.9000000000000004</v>
      </c>
      <c r="O293" s="22">
        <v>0.2</v>
      </c>
      <c r="P293" s="23">
        <v>1</v>
      </c>
      <c r="Q293" s="3"/>
      <c r="R293" s="3"/>
      <c r="S293" s="3"/>
      <c r="T293" s="3"/>
      <c r="U293" s="3"/>
      <c r="V293" s="23"/>
      <c r="W293" s="3"/>
      <c r="X293" s="3"/>
      <c r="Y293" s="17"/>
      <c r="Z293" s="17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12">
        <f t="shared" ref="AK293" si="432">IF(((M293*N293)-Q293-R293-S293+T293+U293)=0,"",((M293*N293)-Q293-R293-S293+T293+U293))</f>
        <v>4.495000000000001</v>
      </c>
      <c r="AL293" s="12">
        <f t="shared" ref="AL293" si="433">IF(PRODUCT(P293,AK293)=0,"",P293*AK293)</f>
        <v>4.495000000000001</v>
      </c>
      <c r="AM293" s="12">
        <f t="shared" ref="AM293" si="434">IF(PRODUCT(AK293,O293)=0,"",AK293*O293)</f>
        <v>0.89900000000000024</v>
      </c>
      <c r="AN293" s="12">
        <f t="shared" ref="AN293" si="435">IF(PRODUCT(AM293,P293)=0,"",AM293*P293)</f>
        <v>0.89900000000000024</v>
      </c>
      <c r="AO293" s="12" t="str">
        <f t="shared" ref="AO293" si="436">IF(N293*V293-W293+X293=0,"",N293*V293-W293+X293)</f>
        <v/>
      </c>
      <c r="AP293" s="12">
        <f t="shared" ref="AP293" si="437">IF(PRODUCT(M293,P293)=0,"",M293*P293)</f>
        <v>1.55</v>
      </c>
      <c r="AQ293" s="12" t="str">
        <f t="shared" ref="AQ293" si="438">IF(AA293+AB293=0,"",AA293+AB293)</f>
        <v/>
      </c>
      <c r="AR293" s="12" t="str">
        <f t="shared" ref="AR293" si="439">IF(AC293+AD293=0,"",AC293+AD293)</f>
        <v/>
      </c>
      <c r="AS293" s="12" t="str">
        <f t="shared" ref="AS293" si="440">IF((AE293*AH293*AI293)*P293=0,"",(AE293*AH293*AI293)*P293)</f>
        <v/>
      </c>
      <c r="AT293" s="12" t="str">
        <f t="shared" ref="AT293" si="441">IF(AJ293*P293=0,"",AJ293*P293)</f>
        <v/>
      </c>
      <c r="AU293" s="12" t="str">
        <f t="shared" ref="AU293" si="442">IF(OR(H293="s1",H293="s2",H293="s3",H293="s4",H293="s4*",H293="s5",H293="s12",H293="s16"),IF(M293&gt;=4,M293,""),"")</f>
        <v/>
      </c>
      <c r="AV293" s="17"/>
      <c r="AX293" s="4"/>
    </row>
    <row r="294" spans="1:50" x14ac:dyDescent="0.25">
      <c r="A294" s="43" t="s">
        <v>276</v>
      </c>
      <c r="B294" s="52" t="s">
        <v>523</v>
      </c>
      <c r="C294" s="44"/>
      <c r="D294" s="43"/>
      <c r="E294" s="52" t="s">
        <v>521</v>
      </c>
      <c r="F294" s="46"/>
      <c r="G294" s="76" t="s">
        <v>698</v>
      </c>
      <c r="H294" s="48" t="s">
        <v>1103</v>
      </c>
      <c r="I294" s="48"/>
      <c r="J294" s="84" t="s">
        <v>1145</v>
      </c>
      <c r="K294" s="85"/>
      <c r="L294" s="47"/>
      <c r="M294" s="3">
        <f>1.275+0.475+0.15</f>
        <v>1.9</v>
      </c>
      <c r="N294" s="3">
        <f t="shared" si="431"/>
        <v>2.9000000000000004</v>
      </c>
      <c r="O294" s="22">
        <v>0.2</v>
      </c>
      <c r="P294" s="23">
        <v>1</v>
      </c>
      <c r="Q294" s="3"/>
      <c r="R294" s="3"/>
      <c r="S294" s="3"/>
      <c r="T294" s="3"/>
      <c r="U294" s="3"/>
      <c r="V294" s="23"/>
      <c r="W294" s="3"/>
      <c r="X294" s="3"/>
      <c r="Y294" s="17"/>
      <c r="Z294" s="17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12">
        <f t="shared" si="420"/>
        <v>5.5100000000000007</v>
      </c>
      <c r="AL294" s="12">
        <f t="shared" si="421"/>
        <v>5.5100000000000007</v>
      </c>
      <c r="AM294" s="12">
        <f t="shared" si="422"/>
        <v>1.1020000000000001</v>
      </c>
      <c r="AN294" s="12">
        <f t="shared" si="423"/>
        <v>1.1020000000000001</v>
      </c>
      <c r="AO294" s="12" t="str">
        <f t="shared" si="424"/>
        <v/>
      </c>
      <c r="AP294" s="12">
        <f t="shared" si="425"/>
        <v>1.9</v>
      </c>
      <c r="AQ294" s="12" t="str">
        <f t="shared" si="426"/>
        <v/>
      </c>
      <c r="AR294" s="12" t="str">
        <f t="shared" si="427"/>
        <v/>
      </c>
      <c r="AS294" s="12" t="str">
        <f t="shared" si="428"/>
        <v/>
      </c>
      <c r="AT294" s="12" t="str">
        <f t="shared" si="429"/>
        <v/>
      </c>
      <c r="AU294" s="12" t="str">
        <f t="shared" si="430"/>
        <v/>
      </c>
      <c r="AV294" s="17"/>
      <c r="AX294" s="4"/>
    </row>
    <row r="295" spans="1:50" x14ac:dyDescent="0.25">
      <c r="A295" s="43" t="s">
        <v>276</v>
      </c>
      <c r="B295" s="52" t="s">
        <v>523</v>
      </c>
      <c r="C295" s="44"/>
      <c r="D295" s="43"/>
      <c r="E295" s="52" t="s">
        <v>719</v>
      </c>
      <c r="F295" s="46"/>
      <c r="G295" s="76" t="s">
        <v>699</v>
      </c>
      <c r="H295" s="48" t="s">
        <v>1097</v>
      </c>
      <c r="I295" s="48"/>
      <c r="J295" s="84" t="s">
        <v>1131</v>
      </c>
      <c r="K295" s="85"/>
      <c r="L295" s="47"/>
      <c r="M295" s="3">
        <f>2.31-0.75</f>
        <v>1.56</v>
      </c>
      <c r="N295" s="3">
        <f t="shared" si="431"/>
        <v>2.9000000000000004</v>
      </c>
      <c r="O295" s="22">
        <v>0.15</v>
      </c>
      <c r="P295" s="23">
        <v>1</v>
      </c>
      <c r="Q295" s="3"/>
      <c r="R295" s="3"/>
      <c r="S295" s="3"/>
      <c r="T295" s="3"/>
      <c r="U295" s="3"/>
      <c r="V295" s="23"/>
      <c r="W295" s="3"/>
      <c r="X295" s="3"/>
      <c r="Y295" s="17"/>
      <c r="Z295" s="17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12">
        <f t="shared" si="420"/>
        <v>4.5240000000000009</v>
      </c>
      <c r="AL295" s="12">
        <f t="shared" si="421"/>
        <v>4.5240000000000009</v>
      </c>
      <c r="AM295" s="12">
        <f t="shared" si="422"/>
        <v>0.67860000000000009</v>
      </c>
      <c r="AN295" s="12">
        <f t="shared" si="423"/>
        <v>0.67860000000000009</v>
      </c>
      <c r="AO295" s="12" t="str">
        <f t="shared" si="424"/>
        <v/>
      </c>
      <c r="AP295" s="12">
        <f t="shared" si="425"/>
        <v>1.56</v>
      </c>
      <c r="AQ295" s="12" t="str">
        <f t="shared" si="426"/>
        <v/>
      </c>
      <c r="AR295" s="12" t="str">
        <f t="shared" si="427"/>
        <v/>
      </c>
      <c r="AS295" s="12" t="str">
        <f t="shared" si="428"/>
        <v/>
      </c>
      <c r="AT295" s="12" t="str">
        <f t="shared" si="429"/>
        <v/>
      </c>
      <c r="AU295" s="12" t="str">
        <f t="shared" si="430"/>
        <v/>
      </c>
      <c r="AV295" s="17"/>
      <c r="AX295" s="4"/>
    </row>
    <row r="296" spans="1:50" x14ac:dyDescent="0.25">
      <c r="A296" s="43" t="s">
        <v>276</v>
      </c>
      <c r="B296" s="52" t="s">
        <v>523</v>
      </c>
      <c r="C296" s="44"/>
      <c r="D296" s="43"/>
      <c r="E296" s="52" t="s">
        <v>719</v>
      </c>
      <c r="F296" s="46"/>
      <c r="G296" s="76" t="s">
        <v>1142</v>
      </c>
      <c r="H296" s="48" t="s">
        <v>1097</v>
      </c>
      <c r="I296" s="48"/>
      <c r="J296" s="84" t="s">
        <v>1132</v>
      </c>
      <c r="K296" s="85"/>
      <c r="L296" s="47"/>
      <c r="M296" s="3">
        <v>0.75</v>
      </c>
      <c r="N296" s="3">
        <f t="shared" si="431"/>
        <v>2.9000000000000004</v>
      </c>
      <c r="O296" s="22">
        <v>0.15</v>
      </c>
      <c r="P296" s="23">
        <v>1</v>
      </c>
      <c r="Q296" s="3"/>
      <c r="R296" s="3"/>
      <c r="S296" s="3"/>
      <c r="T296" s="3"/>
      <c r="U296" s="3"/>
      <c r="V296" s="23"/>
      <c r="W296" s="3"/>
      <c r="X296" s="3"/>
      <c r="Y296" s="17"/>
      <c r="Z296" s="17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12">
        <f t="shared" ref="AK296" si="443">IF(((M296*N296)-Q296-R296-S296+T296+U296)=0,"",((M296*N296)-Q296-R296-S296+T296+U296))</f>
        <v>2.1750000000000003</v>
      </c>
      <c r="AL296" s="12">
        <f t="shared" ref="AL296" si="444">IF(PRODUCT(P296,AK296)=0,"",P296*AK296)</f>
        <v>2.1750000000000003</v>
      </c>
      <c r="AM296" s="12">
        <f t="shared" ref="AM296" si="445">IF(PRODUCT(AK296,O296)=0,"",AK296*O296)</f>
        <v>0.32625000000000004</v>
      </c>
      <c r="AN296" s="12">
        <f t="shared" ref="AN296" si="446">IF(PRODUCT(AM296,P296)=0,"",AM296*P296)</f>
        <v>0.32625000000000004</v>
      </c>
      <c r="AO296" s="12" t="str">
        <f t="shared" ref="AO296" si="447">IF(N296*V296-W296+X296=0,"",N296*V296-W296+X296)</f>
        <v/>
      </c>
      <c r="AP296" s="12">
        <f t="shared" ref="AP296" si="448">IF(PRODUCT(M296,P296)=0,"",M296*P296)</f>
        <v>0.75</v>
      </c>
      <c r="AQ296" s="12" t="str">
        <f t="shared" ref="AQ296" si="449">IF(AA296+AB296=0,"",AA296+AB296)</f>
        <v/>
      </c>
      <c r="AR296" s="12" t="str">
        <f t="shared" ref="AR296" si="450">IF(AC296+AD296=0,"",AC296+AD296)</f>
        <v/>
      </c>
      <c r="AS296" s="12" t="str">
        <f t="shared" ref="AS296" si="451">IF((AE296*AH296*AI296)*P296=0,"",(AE296*AH296*AI296)*P296)</f>
        <v/>
      </c>
      <c r="AT296" s="12" t="str">
        <f t="shared" ref="AT296" si="452">IF(AJ296*P296=0,"",AJ296*P296)</f>
        <v/>
      </c>
      <c r="AU296" s="12" t="str">
        <f t="shared" ref="AU296" si="453">IF(OR(H296="s1",H296="s2",H296="s3",H296="s4",H296="s4*",H296="s5",H296="s12",H296="s16"),IF(M296&gt;=4,M296,""),"")</f>
        <v/>
      </c>
      <c r="AV296" s="17"/>
      <c r="AX296" s="4"/>
    </row>
    <row r="297" spans="1:50" x14ac:dyDescent="0.25">
      <c r="A297" s="43" t="s">
        <v>276</v>
      </c>
      <c r="B297" s="52" t="s">
        <v>521</v>
      </c>
      <c r="C297" s="44"/>
      <c r="D297" s="43"/>
      <c r="E297" s="52" t="s">
        <v>522</v>
      </c>
      <c r="F297" s="46"/>
      <c r="G297" s="76" t="s">
        <v>700</v>
      </c>
      <c r="H297" s="48" t="s">
        <v>1093</v>
      </c>
      <c r="I297" s="48"/>
      <c r="J297" s="84" t="s">
        <v>1132</v>
      </c>
      <c r="K297" s="85"/>
      <c r="L297" s="47"/>
      <c r="M297" s="3">
        <v>1</v>
      </c>
      <c r="N297" s="3">
        <f t="shared" si="431"/>
        <v>2.9000000000000004</v>
      </c>
      <c r="O297" s="22">
        <v>0.1</v>
      </c>
      <c r="P297" s="23">
        <v>1</v>
      </c>
      <c r="Q297" s="3"/>
      <c r="R297" s="3"/>
      <c r="S297" s="3"/>
      <c r="T297" s="3"/>
      <c r="U297" s="3"/>
      <c r="V297" s="23"/>
      <c r="W297" s="3"/>
      <c r="X297" s="3"/>
      <c r="Y297" s="17"/>
      <c r="Z297" s="17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12">
        <f t="shared" si="420"/>
        <v>2.9000000000000004</v>
      </c>
      <c r="AL297" s="12">
        <f t="shared" si="421"/>
        <v>2.9000000000000004</v>
      </c>
      <c r="AM297" s="12">
        <f t="shared" si="422"/>
        <v>0.29000000000000004</v>
      </c>
      <c r="AN297" s="12">
        <f t="shared" si="423"/>
        <v>0.29000000000000004</v>
      </c>
      <c r="AO297" s="12" t="str">
        <f t="shared" si="424"/>
        <v/>
      </c>
      <c r="AP297" s="12">
        <f t="shared" si="425"/>
        <v>1</v>
      </c>
      <c r="AQ297" s="12" t="str">
        <f t="shared" si="426"/>
        <v/>
      </c>
      <c r="AR297" s="12" t="str">
        <f t="shared" si="427"/>
        <v/>
      </c>
      <c r="AS297" s="12" t="str">
        <f t="shared" si="428"/>
        <v/>
      </c>
      <c r="AT297" s="12" t="str">
        <f t="shared" si="429"/>
        <v/>
      </c>
      <c r="AU297" s="12" t="str">
        <f t="shared" si="430"/>
        <v/>
      </c>
      <c r="AV297" s="17"/>
      <c r="AX297" s="4"/>
    </row>
    <row r="298" spans="1:50" x14ac:dyDescent="0.25">
      <c r="A298" s="43" t="s">
        <v>276</v>
      </c>
      <c r="B298" s="52" t="s">
        <v>525</v>
      </c>
      <c r="C298" s="44"/>
      <c r="D298" s="43"/>
      <c r="E298" s="52" t="s">
        <v>715</v>
      </c>
      <c r="F298" s="46"/>
      <c r="G298" s="76" t="s">
        <v>701</v>
      </c>
      <c r="H298" s="48" t="s">
        <v>1104</v>
      </c>
      <c r="I298" s="48"/>
      <c r="J298" s="84" t="s">
        <v>1125</v>
      </c>
      <c r="K298" s="85"/>
      <c r="L298" s="47" t="s">
        <v>622</v>
      </c>
      <c r="M298" s="3">
        <v>4.9850000000000003</v>
      </c>
      <c r="N298" s="3">
        <f>6.45-3.5</f>
        <v>2.95</v>
      </c>
      <c r="O298" s="22">
        <v>0.155</v>
      </c>
      <c r="P298" s="23">
        <v>1</v>
      </c>
      <c r="Q298" s="3"/>
      <c r="R298" s="3"/>
      <c r="S298" s="3"/>
      <c r="T298" s="3"/>
      <c r="U298" s="3"/>
      <c r="V298" s="23"/>
      <c r="W298" s="3"/>
      <c r="X298" s="3"/>
      <c r="Y298" s="17"/>
      <c r="Z298" s="17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12">
        <f t="shared" si="420"/>
        <v>14.705750000000002</v>
      </c>
      <c r="AL298" s="12">
        <f t="shared" si="421"/>
        <v>14.705750000000002</v>
      </c>
      <c r="AM298" s="12">
        <f t="shared" si="422"/>
        <v>2.2793912500000002</v>
      </c>
      <c r="AN298" s="12">
        <f t="shared" si="423"/>
        <v>2.2793912500000002</v>
      </c>
      <c r="AO298" s="12" t="str">
        <f t="shared" si="424"/>
        <v/>
      </c>
      <c r="AP298" s="12">
        <f t="shared" si="425"/>
        <v>4.9850000000000003</v>
      </c>
      <c r="AQ298" s="12" t="str">
        <f t="shared" si="426"/>
        <v/>
      </c>
      <c r="AR298" s="12" t="str">
        <f t="shared" si="427"/>
        <v/>
      </c>
      <c r="AS298" s="12" t="str">
        <f t="shared" si="428"/>
        <v/>
      </c>
      <c r="AT298" s="12" t="str">
        <f t="shared" si="429"/>
        <v/>
      </c>
      <c r="AU298" s="12" t="str">
        <f t="shared" si="430"/>
        <v/>
      </c>
      <c r="AV298" s="17"/>
      <c r="AX298" s="4"/>
    </row>
    <row r="299" spans="1:50" x14ac:dyDescent="0.25">
      <c r="A299" s="43" t="s">
        <v>276</v>
      </c>
      <c r="B299" s="52" t="s">
        <v>715</v>
      </c>
      <c r="C299" s="44"/>
      <c r="D299" s="43"/>
      <c r="E299" s="52" t="s">
        <v>527</v>
      </c>
      <c r="F299" s="46"/>
      <c r="G299" s="76" t="s">
        <v>702</v>
      </c>
      <c r="H299" s="48" t="s">
        <v>1104</v>
      </c>
      <c r="I299" s="48"/>
      <c r="J299" s="84" t="s">
        <v>1125</v>
      </c>
      <c r="K299" s="85"/>
      <c r="L299" s="47" t="s">
        <v>622</v>
      </c>
      <c r="M299" s="3">
        <f>4.985+1.76</f>
        <v>6.7450000000000001</v>
      </c>
      <c r="N299" s="3">
        <f t="shared" ref="N299:N303" si="454">6.45-3.5</f>
        <v>2.95</v>
      </c>
      <c r="O299" s="22">
        <v>0.155</v>
      </c>
      <c r="P299" s="23">
        <v>1</v>
      </c>
      <c r="Q299" s="3"/>
      <c r="R299" s="3"/>
      <c r="S299" s="3"/>
      <c r="T299" s="3"/>
      <c r="U299" s="3"/>
      <c r="V299" s="23"/>
      <c r="W299" s="3"/>
      <c r="X299" s="3"/>
      <c r="Y299" s="17"/>
      <c r="Z299" s="17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12">
        <f t="shared" si="420"/>
        <v>19.897750000000002</v>
      </c>
      <c r="AL299" s="12">
        <f t="shared" si="421"/>
        <v>19.897750000000002</v>
      </c>
      <c r="AM299" s="12">
        <f t="shared" si="422"/>
        <v>3.0841512500000001</v>
      </c>
      <c r="AN299" s="12">
        <f t="shared" si="423"/>
        <v>3.0841512500000001</v>
      </c>
      <c r="AO299" s="12" t="str">
        <f t="shared" si="424"/>
        <v/>
      </c>
      <c r="AP299" s="12">
        <f t="shared" si="425"/>
        <v>6.7450000000000001</v>
      </c>
      <c r="AQ299" s="12" t="str">
        <f t="shared" si="426"/>
        <v/>
      </c>
      <c r="AR299" s="12" t="str">
        <f t="shared" si="427"/>
        <v/>
      </c>
      <c r="AS299" s="12" t="str">
        <f t="shared" si="428"/>
        <v/>
      </c>
      <c r="AT299" s="12" t="str">
        <f t="shared" si="429"/>
        <v/>
      </c>
      <c r="AU299" s="12" t="str">
        <f t="shared" si="430"/>
        <v/>
      </c>
      <c r="AV299" s="17"/>
      <c r="AX299" s="4"/>
    </row>
    <row r="300" spans="1:50" x14ac:dyDescent="0.25">
      <c r="A300" s="43" t="s">
        <v>276</v>
      </c>
      <c r="B300" s="52" t="s">
        <v>527</v>
      </c>
      <c r="C300" s="44"/>
      <c r="D300" s="43"/>
      <c r="E300" s="52" t="s">
        <v>529</v>
      </c>
      <c r="F300" s="46"/>
      <c r="G300" s="76" t="s">
        <v>703</v>
      </c>
      <c r="H300" s="48" t="s">
        <v>1104</v>
      </c>
      <c r="I300" s="48"/>
      <c r="J300" s="84" t="s">
        <v>1125</v>
      </c>
      <c r="K300" s="85"/>
      <c r="L300" s="47" t="s">
        <v>622</v>
      </c>
      <c r="M300" s="3">
        <v>4.9850000000000003</v>
      </c>
      <c r="N300" s="3">
        <f t="shared" si="454"/>
        <v>2.95</v>
      </c>
      <c r="O300" s="22">
        <v>0.155</v>
      </c>
      <c r="P300" s="23">
        <v>1</v>
      </c>
      <c r="Q300" s="3"/>
      <c r="R300" s="3"/>
      <c r="S300" s="3"/>
      <c r="T300" s="3"/>
      <c r="U300" s="3"/>
      <c r="V300" s="23"/>
      <c r="W300" s="3"/>
      <c r="X300" s="3"/>
      <c r="Y300" s="17"/>
      <c r="Z300" s="17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12">
        <f t="shared" si="420"/>
        <v>14.705750000000002</v>
      </c>
      <c r="AL300" s="12">
        <f t="shared" si="421"/>
        <v>14.705750000000002</v>
      </c>
      <c r="AM300" s="12">
        <f t="shared" si="422"/>
        <v>2.2793912500000002</v>
      </c>
      <c r="AN300" s="12">
        <f t="shared" si="423"/>
        <v>2.2793912500000002</v>
      </c>
      <c r="AO300" s="12" t="str">
        <f t="shared" si="424"/>
        <v/>
      </c>
      <c r="AP300" s="12">
        <f t="shared" si="425"/>
        <v>4.9850000000000003</v>
      </c>
      <c r="AQ300" s="12" t="str">
        <f t="shared" si="426"/>
        <v/>
      </c>
      <c r="AR300" s="12" t="str">
        <f t="shared" si="427"/>
        <v/>
      </c>
      <c r="AS300" s="12" t="str">
        <f t="shared" si="428"/>
        <v/>
      </c>
      <c r="AT300" s="12" t="str">
        <f t="shared" si="429"/>
        <v/>
      </c>
      <c r="AU300" s="12" t="str">
        <f t="shared" si="430"/>
        <v/>
      </c>
      <c r="AV300" s="17"/>
      <c r="AX300" s="4"/>
    </row>
    <row r="301" spans="1:50" x14ac:dyDescent="0.25">
      <c r="A301" s="43" t="s">
        <v>276</v>
      </c>
      <c r="B301" s="52" t="s">
        <v>529</v>
      </c>
      <c r="C301" s="44"/>
      <c r="D301" s="43"/>
      <c r="E301" s="52" t="s">
        <v>531</v>
      </c>
      <c r="F301" s="46"/>
      <c r="G301" s="76" t="s">
        <v>704</v>
      </c>
      <c r="H301" s="48" t="s">
        <v>1104</v>
      </c>
      <c r="I301" s="48"/>
      <c r="J301" s="84" t="s">
        <v>1125</v>
      </c>
      <c r="K301" s="85"/>
      <c r="L301" s="47" t="s">
        <v>622</v>
      </c>
      <c r="M301" s="3">
        <f>4.985+1.76</f>
        <v>6.7450000000000001</v>
      </c>
      <c r="N301" s="3">
        <f t="shared" si="454"/>
        <v>2.95</v>
      </c>
      <c r="O301" s="22">
        <v>0.155</v>
      </c>
      <c r="P301" s="23">
        <v>1</v>
      </c>
      <c r="Q301" s="3"/>
      <c r="R301" s="3"/>
      <c r="S301" s="3"/>
      <c r="T301" s="3"/>
      <c r="U301" s="3"/>
      <c r="V301" s="23"/>
      <c r="W301" s="3"/>
      <c r="X301" s="3"/>
      <c r="Y301" s="17"/>
      <c r="Z301" s="17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12">
        <f t="shared" si="420"/>
        <v>19.897750000000002</v>
      </c>
      <c r="AL301" s="12">
        <f t="shared" si="421"/>
        <v>19.897750000000002</v>
      </c>
      <c r="AM301" s="12">
        <f t="shared" si="422"/>
        <v>3.0841512500000001</v>
      </c>
      <c r="AN301" s="12">
        <f t="shared" si="423"/>
        <v>3.0841512500000001</v>
      </c>
      <c r="AO301" s="12" t="str">
        <f t="shared" si="424"/>
        <v/>
      </c>
      <c r="AP301" s="12">
        <f t="shared" si="425"/>
        <v>6.7450000000000001</v>
      </c>
      <c r="AQ301" s="12" t="str">
        <f t="shared" si="426"/>
        <v/>
      </c>
      <c r="AR301" s="12" t="str">
        <f t="shared" si="427"/>
        <v/>
      </c>
      <c r="AS301" s="12" t="str">
        <f t="shared" si="428"/>
        <v/>
      </c>
      <c r="AT301" s="12" t="str">
        <f t="shared" si="429"/>
        <v/>
      </c>
      <c r="AU301" s="12" t="str">
        <f t="shared" si="430"/>
        <v/>
      </c>
      <c r="AV301" s="17"/>
      <c r="AX301" s="4"/>
    </row>
    <row r="302" spans="1:50" x14ac:dyDescent="0.25">
      <c r="A302" s="43" t="s">
        <v>276</v>
      </c>
      <c r="B302" s="52" t="s">
        <v>531</v>
      </c>
      <c r="C302" s="44"/>
      <c r="D302" s="43"/>
      <c r="E302" s="52" t="s">
        <v>620</v>
      </c>
      <c r="F302" s="46"/>
      <c r="G302" s="76" t="s">
        <v>705</v>
      </c>
      <c r="H302" s="48" t="s">
        <v>1104</v>
      </c>
      <c r="I302" s="48"/>
      <c r="J302" s="84" t="s">
        <v>1125</v>
      </c>
      <c r="K302" s="85"/>
      <c r="L302" s="47" t="s">
        <v>622</v>
      </c>
      <c r="M302" s="3">
        <v>2.14</v>
      </c>
      <c r="N302" s="3">
        <f t="shared" si="454"/>
        <v>2.95</v>
      </c>
      <c r="O302" s="22">
        <v>0.155</v>
      </c>
      <c r="P302" s="23">
        <v>1</v>
      </c>
      <c r="Q302" s="3"/>
      <c r="R302" s="3"/>
      <c r="S302" s="3"/>
      <c r="T302" s="3"/>
      <c r="U302" s="3"/>
      <c r="V302" s="23"/>
      <c r="W302" s="3"/>
      <c r="X302" s="3"/>
      <c r="Y302" s="17"/>
      <c r="Z302" s="17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12">
        <f t="shared" si="420"/>
        <v>6.3130000000000006</v>
      </c>
      <c r="AL302" s="12">
        <f t="shared" si="421"/>
        <v>6.3130000000000006</v>
      </c>
      <c r="AM302" s="12">
        <f t="shared" si="422"/>
        <v>0.97851500000000013</v>
      </c>
      <c r="AN302" s="12">
        <f t="shared" si="423"/>
        <v>0.97851500000000013</v>
      </c>
      <c r="AO302" s="12" t="str">
        <f t="shared" si="424"/>
        <v/>
      </c>
      <c r="AP302" s="12">
        <f t="shared" si="425"/>
        <v>2.14</v>
      </c>
      <c r="AQ302" s="12" t="str">
        <f t="shared" si="426"/>
        <v/>
      </c>
      <c r="AR302" s="12" t="str">
        <f t="shared" si="427"/>
        <v/>
      </c>
      <c r="AS302" s="12" t="str">
        <f t="shared" si="428"/>
        <v/>
      </c>
      <c r="AT302" s="12" t="str">
        <f t="shared" si="429"/>
        <v/>
      </c>
      <c r="AU302" s="12" t="str">
        <f t="shared" si="430"/>
        <v/>
      </c>
      <c r="AV302" s="17"/>
      <c r="AX302" s="4"/>
    </row>
    <row r="303" spans="1:50" x14ac:dyDescent="0.25">
      <c r="A303" s="43" t="s">
        <v>276</v>
      </c>
      <c r="B303" s="52" t="s">
        <v>717</v>
      </c>
      <c r="C303" s="44"/>
      <c r="D303" s="43"/>
      <c r="E303" s="52" t="s">
        <v>623</v>
      </c>
      <c r="F303" s="46"/>
      <c r="G303" s="76" t="s">
        <v>706</v>
      </c>
      <c r="H303" s="48" t="s">
        <v>1104</v>
      </c>
      <c r="I303" s="48"/>
      <c r="J303" s="84" t="s">
        <v>1125</v>
      </c>
      <c r="K303" s="85"/>
      <c r="L303" s="47" t="s">
        <v>622</v>
      </c>
      <c r="M303" s="3">
        <f>4.985+0.985+0.775</f>
        <v>6.745000000000001</v>
      </c>
      <c r="N303" s="3">
        <f t="shared" si="454"/>
        <v>2.95</v>
      </c>
      <c r="O303" s="22">
        <v>0.155</v>
      </c>
      <c r="P303" s="23">
        <v>1</v>
      </c>
      <c r="Q303" s="3"/>
      <c r="R303" s="3"/>
      <c r="S303" s="3"/>
      <c r="T303" s="3"/>
      <c r="U303" s="3"/>
      <c r="V303" s="23"/>
      <c r="W303" s="3"/>
      <c r="X303" s="3"/>
      <c r="Y303" s="17"/>
      <c r="Z303" s="17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12">
        <f t="shared" si="420"/>
        <v>19.897750000000006</v>
      </c>
      <c r="AL303" s="12">
        <f t="shared" si="421"/>
        <v>19.897750000000006</v>
      </c>
      <c r="AM303" s="12">
        <f t="shared" si="422"/>
        <v>3.084151250000001</v>
      </c>
      <c r="AN303" s="12">
        <f t="shared" si="423"/>
        <v>3.084151250000001</v>
      </c>
      <c r="AO303" s="12" t="str">
        <f t="shared" si="424"/>
        <v/>
      </c>
      <c r="AP303" s="12">
        <f t="shared" si="425"/>
        <v>6.745000000000001</v>
      </c>
      <c r="AQ303" s="12" t="str">
        <f t="shared" si="426"/>
        <v/>
      </c>
      <c r="AR303" s="12" t="str">
        <f t="shared" si="427"/>
        <v/>
      </c>
      <c r="AS303" s="12" t="str">
        <f t="shared" si="428"/>
        <v/>
      </c>
      <c r="AT303" s="12" t="str">
        <f t="shared" si="429"/>
        <v/>
      </c>
      <c r="AU303" s="12" t="str">
        <f t="shared" si="430"/>
        <v/>
      </c>
      <c r="AV303" s="17"/>
      <c r="AX303" s="4"/>
    </row>
    <row r="304" spans="1:50" x14ac:dyDescent="0.25">
      <c r="A304" s="43" t="s">
        <v>276</v>
      </c>
      <c r="B304" s="52" t="s">
        <v>623</v>
      </c>
      <c r="C304" s="44"/>
      <c r="D304" s="43"/>
      <c r="E304" s="52" t="s">
        <v>540</v>
      </c>
      <c r="F304" s="46"/>
      <c r="G304" s="76" t="s">
        <v>707</v>
      </c>
      <c r="H304" s="48" t="s">
        <v>1104</v>
      </c>
      <c r="I304" s="48"/>
      <c r="J304" s="84" t="s">
        <v>1125</v>
      </c>
      <c r="K304" s="85"/>
      <c r="L304" s="47" t="s">
        <v>622</v>
      </c>
      <c r="M304" s="3">
        <v>4.9850000000000003</v>
      </c>
      <c r="N304" s="3">
        <f t="shared" si="431"/>
        <v>2.9000000000000004</v>
      </c>
      <c r="O304" s="22">
        <v>0.155</v>
      </c>
      <c r="P304" s="23">
        <v>1</v>
      </c>
      <c r="Q304" s="3"/>
      <c r="R304" s="3"/>
      <c r="S304" s="3"/>
      <c r="T304" s="3"/>
      <c r="U304" s="3"/>
      <c r="V304" s="23"/>
      <c r="W304" s="3"/>
      <c r="X304" s="3"/>
      <c r="Y304" s="17"/>
      <c r="Z304" s="17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12">
        <f t="shared" si="420"/>
        <v>14.456500000000002</v>
      </c>
      <c r="AL304" s="12">
        <f t="shared" si="421"/>
        <v>14.456500000000002</v>
      </c>
      <c r="AM304" s="12">
        <f t="shared" si="422"/>
        <v>2.2407575000000004</v>
      </c>
      <c r="AN304" s="12">
        <f t="shared" si="423"/>
        <v>2.2407575000000004</v>
      </c>
      <c r="AO304" s="12" t="str">
        <f t="shared" si="424"/>
        <v/>
      </c>
      <c r="AP304" s="12">
        <f t="shared" si="425"/>
        <v>4.9850000000000003</v>
      </c>
      <c r="AQ304" s="12" t="str">
        <f t="shared" si="426"/>
        <v/>
      </c>
      <c r="AR304" s="12" t="str">
        <f t="shared" si="427"/>
        <v/>
      </c>
      <c r="AS304" s="12" t="str">
        <f t="shared" si="428"/>
        <v/>
      </c>
      <c r="AT304" s="12" t="str">
        <f t="shared" si="429"/>
        <v/>
      </c>
      <c r="AU304" s="12" t="str">
        <f t="shared" si="430"/>
        <v/>
      </c>
      <c r="AV304" s="17"/>
      <c r="AX304" s="4"/>
    </row>
    <row r="305" spans="1:50" x14ac:dyDescent="0.25">
      <c r="A305" s="43" t="s">
        <v>276</v>
      </c>
      <c r="B305" s="52" t="s">
        <v>540</v>
      </c>
      <c r="C305" s="44"/>
      <c r="D305" s="43"/>
      <c r="E305" s="52" t="s">
        <v>534</v>
      </c>
      <c r="F305" s="46"/>
      <c r="G305" s="76" t="s">
        <v>708</v>
      </c>
      <c r="H305" s="48" t="s">
        <v>1104</v>
      </c>
      <c r="I305" s="48"/>
      <c r="J305" s="84" t="s">
        <v>1125</v>
      </c>
      <c r="K305" s="85"/>
      <c r="L305" s="47" t="s">
        <v>622</v>
      </c>
      <c r="M305" s="3">
        <v>6.58</v>
      </c>
      <c r="N305" s="3">
        <f t="shared" si="431"/>
        <v>2.9000000000000004</v>
      </c>
      <c r="O305" s="22">
        <v>0.155</v>
      </c>
      <c r="P305" s="23">
        <v>1</v>
      </c>
      <c r="Q305" s="3"/>
      <c r="R305" s="3"/>
      <c r="S305" s="3"/>
      <c r="T305" s="3"/>
      <c r="U305" s="3"/>
      <c r="V305" s="23"/>
      <c r="W305" s="3"/>
      <c r="X305" s="3"/>
      <c r="Y305" s="17"/>
      <c r="Z305" s="17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12">
        <f t="shared" si="420"/>
        <v>19.082000000000004</v>
      </c>
      <c r="AL305" s="12">
        <f t="shared" si="421"/>
        <v>19.082000000000004</v>
      </c>
      <c r="AM305" s="12">
        <f t="shared" si="422"/>
        <v>2.9577100000000005</v>
      </c>
      <c r="AN305" s="12">
        <f t="shared" si="423"/>
        <v>2.9577100000000005</v>
      </c>
      <c r="AO305" s="12" t="str">
        <f t="shared" si="424"/>
        <v/>
      </c>
      <c r="AP305" s="12">
        <f t="shared" si="425"/>
        <v>6.58</v>
      </c>
      <c r="AQ305" s="12" t="str">
        <f t="shared" si="426"/>
        <v/>
      </c>
      <c r="AR305" s="12" t="str">
        <f t="shared" si="427"/>
        <v/>
      </c>
      <c r="AS305" s="12" t="str">
        <f t="shared" si="428"/>
        <v/>
      </c>
      <c r="AT305" s="12" t="str">
        <f t="shared" si="429"/>
        <v/>
      </c>
      <c r="AU305" s="12" t="str">
        <f t="shared" si="430"/>
        <v/>
      </c>
      <c r="AV305" s="17"/>
      <c r="AX305" s="4"/>
    </row>
    <row r="306" spans="1:50" x14ac:dyDescent="0.25">
      <c r="A306" s="43" t="s">
        <v>276</v>
      </c>
      <c r="B306" s="52" t="s">
        <v>534</v>
      </c>
      <c r="C306" s="44"/>
      <c r="D306" s="43"/>
      <c r="E306" s="52" t="s">
        <v>537</v>
      </c>
      <c r="F306" s="46"/>
      <c r="G306" s="76" t="s">
        <v>709</v>
      </c>
      <c r="H306" s="48" t="s">
        <v>1104</v>
      </c>
      <c r="I306" s="48"/>
      <c r="J306" s="84" t="s">
        <v>1125</v>
      </c>
      <c r="K306" s="85"/>
      <c r="L306" s="47" t="s">
        <v>622</v>
      </c>
      <c r="M306" s="3">
        <v>4.9850000000000003</v>
      </c>
      <c r="N306" s="3">
        <f t="shared" si="431"/>
        <v>2.9000000000000004</v>
      </c>
      <c r="O306" s="22">
        <v>0.155</v>
      </c>
      <c r="P306" s="23">
        <v>1</v>
      </c>
      <c r="Q306" s="3"/>
      <c r="R306" s="3"/>
      <c r="S306" s="3"/>
      <c r="T306" s="3"/>
      <c r="U306" s="3"/>
      <c r="V306" s="23"/>
      <c r="W306" s="3"/>
      <c r="X306" s="3"/>
      <c r="Y306" s="17"/>
      <c r="Z306" s="17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12">
        <f t="shared" si="420"/>
        <v>14.456500000000002</v>
      </c>
      <c r="AL306" s="12">
        <f t="shared" si="421"/>
        <v>14.456500000000002</v>
      </c>
      <c r="AM306" s="12">
        <f t="shared" si="422"/>
        <v>2.2407575000000004</v>
      </c>
      <c r="AN306" s="12">
        <f t="shared" si="423"/>
        <v>2.2407575000000004</v>
      </c>
      <c r="AO306" s="12" t="str">
        <f t="shared" si="424"/>
        <v/>
      </c>
      <c r="AP306" s="12">
        <f t="shared" si="425"/>
        <v>4.9850000000000003</v>
      </c>
      <c r="AQ306" s="12" t="str">
        <f t="shared" si="426"/>
        <v/>
      </c>
      <c r="AR306" s="12" t="str">
        <f t="shared" si="427"/>
        <v/>
      </c>
      <c r="AS306" s="12" t="str">
        <f t="shared" si="428"/>
        <v/>
      </c>
      <c r="AT306" s="12" t="str">
        <f t="shared" si="429"/>
        <v/>
      </c>
      <c r="AU306" s="12" t="str">
        <f t="shared" si="430"/>
        <v/>
      </c>
      <c r="AV306" s="17"/>
      <c r="AX306" s="4"/>
    </row>
    <row r="307" spans="1:50" x14ac:dyDescent="0.25">
      <c r="A307" s="43" t="s">
        <v>276</v>
      </c>
      <c r="B307" s="52" t="s">
        <v>537</v>
      </c>
      <c r="C307" s="44"/>
      <c r="D307" s="43"/>
      <c r="E307" s="52" t="s">
        <v>674</v>
      </c>
      <c r="F307" s="46"/>
      <c r="G307" s="76" t="s">
        <v>710</v>
      </c>
      <c r="H307" s="48" t="s">
        <v>1104</v>
      </c>
      <c r="I307" s="48"/>
      <c r="J307" s="84" t="s">
        <v>1125</v>
      </c>
      <c r="K307" s="85"/>
      <c r="L307" s="47" t="s">
        <v>622</v>
      </c>
      <c r="M307" s="3">
        <v>4.9850000000000003</v>
      </c>
      <c r="N307" s="3">
        <f t="shared" si="431"/>
        <v>2.9000000000000004</v>
      </c>
      <c r="O307" s="22">
        <v>0.155</v>
      </c>
      <c r="P307" s="23">
        <v>1</v>
      </c>
      <c r="Q307" s="3"/>
      <c r="R307" s="3"/>
      <c r="S307" s="3"/>
      <c r="T307" s="3"/>
      <c r="U307" s="3"/>
      <c r="V307" s="23"/>
      <c r="W307" s="3"/>
      <c r="X307" s="3"/>
      <c r="Y307" s="17"/>
      <c r="Z307" s="17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12">
        <f t="shared" si="420"/>
        <v>14.456500000000002</v>
      </c>
      <c r="AL307" s="12">
        <f t="shared" si="421"/>
        <v>14.456500000000002</v>
      </c>
      <c r="AM307" s="12">
        <f t="shared" si="422"/>
        <v>2.2407575000000004</v>
      </c>
      <c r="AN307" s="12">
        <f t="shared" si="423"/>
        <v>2.2407575000000004</v>
      </c>
      <c r="AO307" s="12" t="str">
        <f t="shared" si="424"/>
        <v/>
      </c>
      <c r="AP307" s="12">
        <f t="shared" si="425"/>
        <v>4.9850000000000003</v>
      </c>
      <c r="AQ307" s="12" t="str">
        <f t="shared" si="426"/>
        <v/>
      </c>
      <c r="AR307" s="12" t="str">
        <f t="shared" si="427"/>
        <v/>
      </c>
      <c r="AS307" s="12" t="str">
        <f t="shared" si="428"/>
        <v/>
      </c>
      <c r="AT307" s="12" t="str">
        <f t="shared" si="429"/>
        <v/>
      </c>
      <c r="AU307" s="12" t="str">
        <f t="shared" si="430"/>
        <v/>
      </c>
      <c r="AV307" s="17"/>
      <c r="AX307" s="4"/>
    </row>
    <row r="308" spans="1:50" x14ac:dyDescent="0.25">
      <c r="A308" s="43" t="s">
        <v>276</v>
      </c>
      <c r="B308" s="52" t="s">
        <v>674</v>
      </c>
      <c r="C308" s="44"/>
      <c r="D308" s="43"/>
      <c r="E308" s="52" t="s">
        <v>639</v>
      </c>
      <c r="F308" s="46"/>
      <c r="G308" s="76" t="s">
        <v>711</v>
      </c>
      <c r="H308" s="48" t="s">
        <v>1104</v>
      </c>
      <c r="I308" s="48"/>
      <c r="J308" s="84" t="s">
        <v>1125</v>
      </c>
      <c r="K308" s="85"/>
      <c r="L308" s="47" t="s">
        <v>622</v>
      </c>
      <c r="M308" s="3">
        <f>4.985+0.985+0.775</f>
        <v>6.745000000000001</v>
      </c>
      <c r="N308" s="3">
        <f t="shared" si="431"/>
        <v>2.9000000000000004</v>
      </c>
      <c r="O308" s="22">
        <v>0.155</v>
      </c>
      <c r="P308" s="23">
        <v>1</v>
      </c>
      <c r="Q308" s="3"/>
      <c r="R308" s="3"/>
      <c r="S308" s="3"/>
      <c r="T308" s="3"/>
      <c r="U308" s="3"/>
      <c r="V308" s="23"/>
      <c r="W308" s="3"/>
      <c r="X308" s="3"/>
      <c r="Y308" s="17"/>
      <c r="Z308" s="17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12">
        <f t="shared" si="420"/>
        <v>19.560500000000005</v>
      </c>
      <c r="AL308" s="12">
        <f t="shared" si="421"/>
        <v>19.560500000000005</v>
      </c>
      <c r="AM308" s="12">
        <f t="shared" si="422"/>
        <v>3.0318775000000007</v>
      </c>
      <c r="AN308" s="12">
        <f t="shared" si="423"/>
        <v>3.0318775000000007</v>
      </c>
      <c r="AO308" s="12" t="str">
        <f t="shared" si="424"/>
        <v/>
      </c>
      <c r="AP308" s="12">
        <f t="shared" si="425"/>
        <v>6.745000000000001</v>
      </c>
      <c r="AQ308" s="12" t="str">
        <f t="shared" si="426"/>
        <v/>
      </c>
      <c r="AR308" s="12" t="str">
        <f t="shared" si="427"/>
        <v/>
      </c>
      <c r="AS308" s="12" t="str">
        <f t="shared" si="428"/>
        <v/>
      </c>
      <c r="AT308" s="12" t="str">
        <f t="shared" si="429"/>
        <v/>
      </c>
      <c r="AU308" s="12" t="str">
        <f t="shared" si="430"/>
        <v/>
      </c>
      <c r="AV308" s="17"/>
      <c r="AX308" s="4"/>
    </row>
    <row r="309" spans="1:50" x14ac:dyDescent="0.25">
      <c r="A309" s="43" t="s">
        <v>276</v>
      </c>
      <c r="B309" s="52" t="s">
        <v>639</v>
      </c>
      <c r="C309" s="44"/>
      <c r="D309" s="43"/>
      <c r="E309" s="52" t="s">
        <v>652</v>
      </c>
      <c r="F309" s="46"/>
      <c r="G309" s="76" t="s">
        <v>712</v>
      </c>
      <c r="H309" s="48" t="s">
        <v>1104</v>
      </c>
      <c r="I309" s="48"/>
      <c r="J309" s="84" t="s">
        <v>1125</v>
      </c>
      <c r="K309" s="85"/>
      <c r="L309" s="47" t="s">
        <v>622</v>
      </c>
      <c r="M309" s="3">
        <v>4.9850000000000003</v>
      </c>
      <c r="N309" s="3">
        <f t="shared" si="431"/>
        <v>2.9000000000000004</v>
      </c>
      <c r="O309" s="22">
        <v>0.155</v>
      </c>
      <c r="P309" s="23">
        <v>1</v>
      </c>
      <c r="Q309" s="3"/>
      <c r="R309" s="3"/>
      <c r="S309" s="3"/>
      <c r="T309" s="3"/>
      <c r="U309" s="3"/>
      <c r="V309" s="23"/>
      <c r="W309" s="3"/>
      <c r="X309" s="3"/>
      <c r="Y309" s="17"/>
      <c r="Z309" s="17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12">
        <f t="shared" si="420"/>
        <v>14.456500000000002</v>
      </c>
      <c r="AL309" s="12">
        <f t="shared" si="421"/>
        <v>14.456500000000002</v>
      </c>
      <c r="AM309" s="12">
        <f t="shared" si="422"/>
        <v>2.2407575000000004</v>
      </c>
      <c r="AN309" s="12">
        <f t="shared" si="423"/>
        <v>2.2407575000000004</v>
      </c>
      <c r="AO309" s="12" t="str">
        <f t="shared" si="424"/>
        <v/>
      </c>
      <c r="AP309" s="12">
        <f t="shared" si="425"/>
        <v>4.9850000000000003</v>
      </c>
      <c r="AQ309" s="12" t="str">
        <f t="shared" si="426"/>
        <v/>
      </c>
      <c r="AR309" s="12" t="str">
        <f t="shared" si="427"/>
        <v/>
      </c>
      <c r="AS309" s="12" t="str">
        <f t="shared" si="428"/>
        <v/>
      </c>
      <c r="AT309" s="12" t="str">
        <f t="shared" si="429"/>
        <v/>
      </c>
      <c r="AU309" s="12" t="str">
        <f t="shared" si="430"/>
        <v/>
      </c>
      <c r="AV309" s="17"/>
      <c r="AX309" s="4"/>
    </row>
    <row r="310" spans="1:50" x14ac:dyDescent="0.25">
      <c r="A310" s="43" t="s">
        <v>276</v>
      </c>
      <c r="B310" s="52" t="s">
        <v>651</v>
      </c>
      <c r="C310" s="44"/>
      <c r="D310" s="43"/>
      <c r="E310" s="52" t="s">
        <v>654</v>
      </c>
      <c r="F310" s="46"/>
      <c r="G310" s="76" t="s">
        <v>713</v>
      </c>
      <c r="H310" s="48" t="s">
        <v>1104</v>
      </c>
      <c r="I310" s="48"/>
      <c r="J310" s="84" t="s">
        <v>1125</v>
      </c>
      <c r="K310" s="85"/>
      <c r="L310" s="47" t="s">
        <v>622</v>
      </c>
      <c r="M310" s="3">
        <v>3.9449999999999998</v>
      </c>
      <c r="N310" s="3">
        <f t="shared" si="431"/>
        <v>2.9000000000000004</v>
      </c>
      <c r="O310" s="22">
        <v>0.155</v>
      </c>
      <c r="P310" s="23">
        <v>1</v>
      </c>
      <c r="Q310" s="3"/>
      <c r="R310" s="3"/>
      <c r="S310" s="3"/>
      <c r="T310" s="3"/>
      <c r="U310" s="3"/>
      <c r="V310" s="23"/>
      <c r="W310" s="3"/>
      <c r="X310" s="3"/>
      <c r="Y310" s="17"/>
      <c r="Z310" s="17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12">
        <f t="shared" si="420"/>
        <v>11.4405</v>
      </c>
      <c r="AL310" s="12">
        <f t="shared" si="421"/>
        <v>11.4405</v>
      </c>
      <c r="AM310" s="12">
        <f t="shared" si="422"/>
        <v>1.7732775000000001</v>
      </c>
      <c r="AN310" s="12">
        <f t="shared" si="423"/>
        <v>1.7732775000000001</v>
      </c>
      <c r="AO310" s="12" t="str">
        <f t="shared" si="424"/>
        <v/>
      </c>
      <c r="AP310" s="12">
        <f t="shared" si="425"/>
        <v>3.9449999999999998</v>
      </c>
      <c r="AQ310" s="12" t="str">
        <f t="shared" si="426"/>
        <v/>
      </c>
      <c r="AR310" s="12" t="str">
        <f t="shared" si="427"/>
        <v/>
      </c>
      <c r="AS310" s="12" t="str">
        <f t="shared" si="428"/>
        <v/>
      </c>
      <c r="AT310" s="12" t="str">
        <f t="shared" si="429"/>
        <v/>
      </c>
      <c r="AU310" s="12" t="str">
        <f t="shared" si="430"/>
        <v/>
      </c>
      <c r="AV310" s="17"/>
      <c r="AX310" s="4"/>
    </row>
    <row r="311" spans="1:50" x14ac:dyDescent="0.25">
      <c r="A311" s="43" t="s">
        <v>276</v>
      </c>
      <c r="B311" s="52" t="s">
        <v>525</v>
      </c>
      <c r="C311" s="44"/>
      <c r="D311" s="43"/>
      <c r="E311" s="52" t="s">
        <v>518</v>
      </c>
      <c r="F311" s="46"/>
      <c r="G311" s="76" t="s">
        <v>714</v>
      </c>
      <c r="H311" s="48" t="s">
        <v>1104</v>
      </c>
      <c r="I311" s="48"/>
      <c r="J311" s="84" t="s">
        <v>1125</v>
      </c>
      <c r="K311" s="85"/>
      <c r="L311" s="47" t="s">
        <v>622</v>
      </c>
      <c r="M311" s="3">
        <f>1.885+1.155</f>
        <v>3.04</v>
      </c>
      <c r="N311" s="3">
        <f t="shared" ref="N311:N315" si="455">6.45-3.5</f>
        <v>2.95</v>
      </c>
      <c r="O311" s="22">
        <v>0.155</v>
      </c>
      <c r="P311" s="23">
        <v>1</v>
      </c>
      <c r="Q311" s="3"/>
      <c r="R311" s="3">
        <f>1.2*2.17</f>
        <v>2.6039999999999996</v>
      </c>
      <c r="S311" s="3"/>
      <c r="T311" s="3"/>
      <c r="U311" s="3"/>
      <c r="V311" s="23"/>
      <c r="W311" s="3"/>
      <c r="X311" s="3"/>
      <c r="Y311" s="17"/>
      <c r="Z311" s="17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12">
        <f t="shared" si="420"/>
        <v>6.3640000000000008</v>
      </c>
      <c r="AL311" s="12">
        <f t="shared" si="421"/>
        <v>6.3640000000000008</v>
      </c>
      <c r="AM311" s="12">
        <f t="shared" si="422"/>
        <v>0.98642000000000007</v>
      </c>
      <c r="AN311" s="12">
        <f t="shared" si="423"/>
        <v>0.98642000000000007</v>
      </c>
      <c r="AO311" s="12" t="str">
        <f t="shared" si="424"/>
        <v/>
      </c>
      <c r="AP311" s="12">
        <f t="shared" si="425"/>
        <v>3.04</v>
      </c>
      <c r="AQ311" s="12" t="str">
        <f t="shared" si="426"/>
        <v/>
      </c>
      <c r="AR311" s="12" t="str">
        <f t="shared" si="427"/>
        <v/>
      </c>
      <c r="AS311" s="12" t="str">
        <f t="shared" si="428"/>
        <v/>
      </c>
      <c r="AT311" s="12" t="str">
        <f t="shared" si="429"/>
        <v/>
      </c>
      <c r="AU311" s="12" t="str">
        <f t="shared" si="430"/>
        <v/>
      </c>
      <c r="AV311" s="17"/>
      <c r="AX311" s="4"/>
    </row>
    <row r="312" spans="1:50" x14ac:dyDescent="0.25">
      <c r="A312" s="43" t="s">
        <v>276</v>
      </c>
      <c r="B312" s="52" t="s">
        <v>739</v>
      </c>
      <c r="C312" s="44"/>
      <c r="D312" s="43"/>
      <c r="E312" s="52" t="s">
        <v>518</v>
      </c>
      <c r="F312" s="46"/>
      <c r="G312" s="76" t="s">
        <v>720</v>
      </c>
      <c r="H312" s="48" t="s">
        <v>1104</v>
      </c>
      <c r="I312" s="48"/>
      <c r="J312" s="84" t="s">
        <v>1125</v>
      </c>
      <c r="K312" s="85"/>
      <c r="L312" s="47" t="s">
        <v>622</v>
      </c>
      <c r="M312" s="3">
        <f>3.925</f>
        <v>3.9249999999999998</v>
      </c>
      <c r="N312" s="3">
        <f t="shared" si="455"/>
        <v>2.95</v>
      </c>
      <c r="O312" s="22">
        <v>0.155</v>
      </c>
      <c r="P312" s="23">
        <v>1</v>
      </c>
      <c r="Q312" s="3"/>
      <c r="R312" s="3">
        <f>1.2*2.17*2</f>
        <v>5.2079999999999993</v>
      </c>
      <c r="S312" s="3"/>
      <c r="T312" s="3"/>
      <c r="U312" s="3"/>
      <c r="V312" s="23"/>
      <c r="W312" s="3"/>
      <c r="X312" s="3"/>
      <c r="Y312" s="17"/>
      <c r="Z312" s="17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12">
        <f t="shared" si="420"/>
        <v>6.3707500000000001</v>
      </c>
      <c r="AL312" s="12">
        <f t="shared" si="421"/>
        <v>6.3707500000000001</v>
      </c>
      <c r="AM312" s="12">
        <f t="shared" si="422"/>
        <v>0.98746624999999999</v>
      </c>
      <c r="AN312" s="12">
        <f t="shared" si="423"/>
        <v>0.98746624999999999</v>
      </c>
      <c r="AO312" s="12" t="str">
        <f t="shared" si="424"/>
        <v/>
      </c>
      <c r="AP312" s="12">
        <f t="shared" si="425"/>
        <v>3.9249999999999998</v>
      </c>
      <c r="AQ312" s="12" t="str">
        <f t="shared" si="426"/>
        <v/>
      </c>
      <c r="AR312" s="12" t="str">
        <f t="shared" si="427"/>
        <v/>
      </c>
      <c r="AS312" s="12" t="str">
        <f t="shared" si="428"/>
        <v/>
      </c>
      <c r="AT312" s="12" t="str">
        <f t="shared" si="429"/>
        <v/>
      </c>
      <c r="AU312" s="12" t="str">
        <f t="shared" si="430"/>
        <v/>
      </c>
      <c r="AV312" s="17"/>
      <c r="AX312" s="4"/>
    </row>
    <row r="313" spans="1:50" x14ac:dyDescent="0.25">
      <c r="A313" s="43" t="s">
        <v>276</v>
      </c>
      <c r="B313" s="52" t="s">
        <v>740</v>
      </c>
      <c r="C313" s="44"/>
      <c r="D313" s="43"/>
      <c r="E313" s="52" t="s">
        <v>518</v>
      </c>
      <c r="F313" s="46"/>
      <c r="G313" s="76" t="s">
        <v>721</v>
      </c>
      <c r="H313" s="48" t="s">
        <v>1104</v>
      </c>
      <c r="I313" s="48"/>
      <c r="J313" s="84" t="s">
        <v>1125</v>
      </c>
      <c r="K313" s="85"/>
      <c r="L313" s="47" t="s">
        <v>622</v>
      </c>
      <c r="M313" s="3">
        <f>3.925</f>
        <v>3.9249999999999998</v>
      </c>
      <c r="N313" s="3">
        <f t="shared" si="455"/>
        <v>2.95</v>
      </c>
      <c r="O313" s="22">
        <v>0.155</v>
      </c>
      <c r="P313" s="23">
        <v>1</v>
      </c>
      <c r="Q313" s="3"/>
      <c r="R313" s="3">
        <f>1.2*2.17*2</f>
        <v>5.2079999999999993</v>
      </c>
      <c r="S313" s="3"/>
      <c r="T313" s="3"/>
      <c r="U313" s="3"/>
      <c r="V313" s="23"/>
      <c r="W313" s="3"/>
      <c r="X313" s="3"/>
      <c r="Y313" s="17"/>
      <c r="Z313" s="17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12">
        <f t="shared" si="420"/>
        <v>6.3707500000000001</v>
      </c>
      <c r="AL313" s="12">
        <f t="shared" si="421"/>
        <v>6.3707500000000001</v>
      </c>
      <c r="AM313" s="12">
        <f t="shared" si="422"/>
        <v>0.98746624999999999</v>
      </c>
      <c r="AN313" s="12">
        <f t="shared" si="423"/>
        <v>0.98746624999999999</v>
      </c>
      <c r="AO313" s="12" t="str">
        <f t="shared" si="424"/>
        <v/>
      </c>
      <c r="AP313" s="12">
        <f t="shared" si="425"/>
        <v>3.9249999999999998</v>
      </c>
      <c r="AQ313" s="12" t="str">
        <f t="shared" si="426"/>
        <v/>
      </c>
      <c r="AR313" s="12" t="str">
        <f t="shared" si="427"/>
        <v/>
      </c>
      <c r="AS313" s="12" t="str">
        <f t="shared" si="428"/>
        <v/>
      </c>
      <c r="AT313" s="12" t="str">
        <f t="shared" si="429"/>
        <v/>
      </c>
      <c r="AU313" s="12" t="str">
        <f t="shared" si="430"/>
        <v/>
      </c>
      <c r="AV313" s="17"/>
      <c r="AX313" s="4"/>
    </row>
    <row r="314" spans="1:50" x14ac:dyDescent="0.25">
      <c r="A314" s="43" t="s">
        <v>276</v>
      </c>
      <c r="B314" s="52" t="s">
        <v>620</v>
      </c>
      <c r="C314" s="44"/>
      <c r="D314" s="43"/>
      <c r="E314" s="52" t="s">
        <v>518</v>
      </c>
      <c r="F314" s="46"/>
      <c r="G314" s="76" t="s">
        <v>773</v>
      </c>
      <c r="H314" s="48" t="s">
        <v>1104</v>
      </c>
      <c r="I314" s="48"/>
      <c r="J314" s="84" t="s">
        <v>1125</v>
      </c>
      <c r="K314" s="85"/>
      <c r="L314" s="47" t="s">
        <v>622</v>
      </c>
      <c r="M314" s="3">
        <f>1.505</f>
        <v>1.5049999999999999</v>
      </c>
      <c r="N314" s="3">
        <f t="shared" si="455"/>
        <v>2.95</v>
      </c>
      <c r="O314" s="22">
        <v>0.155</v>
      </c>
      <c r="P314" s="23">
        <v>1</v>
      </c>
      <c r="Q314" s="3"/>
      <c r="R314" s="3">
        <f>1.2*2.17</f>
        <v>2.6039999999999996</v>
      </c>
      <c r="S314" s="3"/>
      <c r="T314" s="3"/>
      <c r="U314" s="3"/>
      <c r="V314" s="23"/>
      <c r="W314" s="3"/>
      <c r="X314" s="3"/>
      <c r="Y314" s="17"/>
      <c r="Z314" s="17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12">
        <f t="shared" ref="AK314" si="456">IF(((M314*N314)-Q314-R314-S314+T314+U314)=0,"",((M314*N314)-Q314-R314-S314+T314+U314))</f>
        <v>1.8357500000000004</v>
      </c>
      <c r="AL314" s="12">
        <f t="shared" ref="AL314" si="457">IF(PRODUCT(P314,AK314)=0,"",P314*AK314)</f>
        <v>1.8357500000000004</v>
      </c>
      <c r="AM314" s="12">
        <f t="shared" ref="AM314" si="458">IF(PRODUCT(AK314,O314)=0,"",AK314*O314)</f>
        <v>0.28454125000000008</v>
      </c>
      <c r="AN314" s="12">
        <f t="shared" ref="AN314" si="459">IF(PRODUCT(AM314,P314)=0,"",AM314*P314)</f>
        <v>0.28454125000000008</v>
      </c>
      <c r="AO314" s="12" t="str">
        <f t="shared" ref="AO314" si="460">IF(N314*V314-W314+X314=0,"",N314*V314-W314+X314)</f>
        <v/>
      </c>
      <c r="AP314" s="12">
        <f t="shared" ref="AP314" si="461">IF(PRODUCT(M314,P314)=0,"",M314*P314)</f>
        <v>1.5049999999999999</v>
      </c>
      <c r="AQ314" s="12" t="str">
        <f t="shared" ref="AQ314" si="462">IF(AA314+AB314=0,"",AA314+AB314)</f>
        <v/>
      </c>
      <c r="AR314" s="12" t="str">
        <f t="shared" ref="AR314" si="463">IF(AC314+AD314=0,"",AC314+AD314)</f>
        <v/>
      </c>
      <c r="AS314" s="12" t="str">
        <f t="shared" ref="AS314" si="464">IF((AE314*AH314*AI314)*P314=0,"",(AE314*AH314*AI314)*P314)</f>
        <v/>
      </c>
      <c r="AT314" s="12" t="str">
        <f t="shared" ref="AT314" si="465">IF(AJ314*P314=0,"",AJ314*P314)</f>
        <v/>
      </c>
      <c r="AU314" s="12" t="str">
        <f t="shared" ref="AU314" si="466">IF(OR(H314="s1",H314="s2",H314="s3",H314="s4",H314="s4*",H314="s5",H314="s12",H314="s16"),IF(M314&gt;=4,M314,""),"")</f>
        <v/>
      </c>
      <c r="AV314" s="17"/>
      <c r="AX314" s="4"/>
    </row>
    <row r="315" spans="1:50" x14ac:dyDescent="0.25">
      <c r="A315" s="43" t="s">
        <v>276</v>
      </c>
      <c r="B315" s="52" t="s">
        <v>741</v>
      </c>
      <c r="C315" s="44"/>
      <c r="D315" s="43"/>
      <c r="E315" s="52" t="s">
        <v>518</v>
      </c>
      <c r="F315" s="46"/>
      <c r="G315" s="76" t="s">
        <v>722</v>
      </c>
      <c r="H315" s="48" t="s">
        <v>1104</v>
      </c>
      <c r="I315" s="48"/>
      <c r="J315" s="84" t="s">
        <v>1125</v>
      </c>
      <c r="K315" s="85"/>
      <c r="L315" s="47" t="s">
        <v>622</v>
      </c>
      <c r="M315" s="3">
        <f>3.74</f>
        <v>3.74</v>
      </c>
      <c r="N315" s="3">
        <f t="shared" si="455"/>
        <v>2.95</v>
      </c>
      <c r="O315" s="22">
        <v>0.155</v>
      </c>
      <c r="P315" s="23">
        <v>1</v>
      </c>
      <c r="Q315" s="3"/>
      <c r="R315" s="3">
        <f>1.2*2.17+1.65*2.65</f>
        <v>6.9764999999999997</v>
      </c>
      <c r="S315" s="3"/>
      <c r="T315" s="3"/>
      <c r="U315" s="3"/>
      <c r="V315" s="23"/>
      <c r="W315" s="3"/>
      <c r="X315" s="3"/>
      <c r="Y315" s="17"/>
      <c r="Z315" s="17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12">
        <f t="shared" si="420"/>
        <v>4.0565000000000015</v>
      </c>
      <c r="AL315" s="12">
        <f t="shared" si="421"/>
        <v>4.0565000000000015</v>
      </c>
      <c r="AM315" s="12">
        <f t="shared" si="422"/>
        <v>0.62875750000000019</v>
      </c>
      <c r="AN315" s="12">
        <f t="shared" si="423"/>
        <v>0.62875750000000019</v>
      </c>
      <c r="AO315" s="12" t="str">
        <f t="shared" si="424"/>
        <v/>
      </c>
      <c r="AP315" s="12">
        <f t="shared" si="425"/>
        <v>3.74</v>
      </c>
      <c r="AQ315" s="12" t="str">
        <f t="shared" si="426"/>
        <v/>
      </c>
      <c r="AR315" s="12" t="str">
        <f t="shared" si="427"/>
        <v/>
      </c>
      <c r="AS315" s="12" t="str">
        <f t="shared" si="428"/>
        <v/>
      </c>
      <c r="AT315" s="12" t="str">
        <f t="shared" si="429"/>
        <v/>
      </c>
      <c r="AU315" s="12" t="str">
        <f t="shared" si="430"/>
        <v/>
      </c>
      <c r="AV315" s="17"/>
      <c r="AX315" s="4"/>
    </row>
    <row r="316" spans="1:50" x14ac:dyDescent="0.25">
      <c r="A316" s="43" t="s">
        <v>276</v>
      </c>
      <c r="B316" s="52" t="s">
        <v>742</v>
      </c>
      <c r="C316" s="44"/>
      <c r="D316" s="43"/>
      <c r="E316" s="52" t="s">
        <v>518</v>
      </c>
      <c r="F316" s="46"/>
      <c r="G316" s="76" t="s">
        <v>723</v>
      </c>
      <c r="H316" s="48" t="s">
        <v>1104</v>
      </c>
      <c r="I316" s="48"/>
      <c r="J316" s="84" t="s">
        <v>1125</v>
      </c>
      <c r="K316" s="85"/>
      <c r="L316" s="47" t="s">
        <v>622</v>
      </c>
      <c r="M316" s="3">
        <f>3.925-(0.635*2+0.155)</f>
        <v>2.5</v>
      </c>
      <c r="N316" s="3">
        <f>6.45-3.55</f>
        <v>2.9000000000000004</v>
      </c>
      <c r="O316" s="22">
        <v>0.155</v>
      </c>
      <c r="P316" s="23">
        <v>1</v>
      </c>
      <c r="Q316" s="3"/>
      <c r="R316" s="3">
        <f>1.2*2.17*2</f>
        <v>5.2079999999999993</v>
      </c>
      <c r="S316" s="3"/>
      <c r="T316" s="3"/>
      <c r="U316" s="3"/>
      <c r="V316" s="23"/>
      <c r="W316" s="3"/>
      <c r="X316" s="3"/>
      <c r="Y316" s="17"/>
      <c r="Z316" s="17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12">
        <f t="shared" si="420"/>
        <v>2.0420000000000016</v>
      </c>
      <c r="AL316" s="12">
        <f t="shared" si="421"/>
        <v>2.0420000000000016</v>
      </c>
      <c r="AM316" s="12">
        <f t="shared" si="422"/>
        <v>0.31651000000000024</v>
      </c>
      <c r="AN316" s="12">
        <f t="shared" si="423"/>
        <v>0.31651000000000024</v>
      </c>
      <c r="AO316" s="12" t="str">
        <f t="shared" si="424"/>
        <v/>
      </c>
      <c r="AP316" s="12">
        <f t="shared" si="425"/>
        <v>2.5</v>
      </c>
      <c r="AQ316" s="12" t="str">
        <f t="shared" si="426"/>
        <v/>
      </c>
      <c r="AR316" s="12" t="str">
        <f t="shared" si="427"/>
        <v/>
      </c>
      <c r="AS316" s="12" t="str">
        <f t="shared" si="428"/>
        <v/>
      </c>
      <c r="AT316" s="12" t="str">
        <f t="shared" si="429"/>
        <v/>
      </c>
      <c r="AU316" s="12" t="str">
        <f t="shared" si="430"/>
        <v/>
      </c>
      <c r="AV316" s="17"/>
      <c r="AX316" s="4"/>
    </row>
    <row r="317" spans="1:50" x14ac:dyDescent="0.25">
      <c r="A317" s="43" t="s">
        <v>276</v>
      </c>
      <c r="B317" s="52" t="s">
        <v>742</v>
      </c>
      <c r="C317" s="44"/>
      <c r="D317" s="43"/>
      <c r="E317" s="52" t="s">
        <v>518</v>
      </c>
      <c r="F317" s="46"/>
      <c r="G317" s="76" t="s">
        <v>724</v>
      </c>
      <c r="H317" s="48" t="s">
        <v>1090</v>
      </c>
      <c r="I317" s="48"/>
      <c r="J317" s="84" t="s">
        <v>1125</v>
      </c>
      <c r="K317" s="85"/>
      <c r="L317" s="47" t="s">
        <v>1175</v>
      </c>
      <c r="M317" s="3">
        <f>0.635*2+0.155</f>
        <v>1.425</v>
      </c>
      <c r="N317" s="3">
        <f t="shared" ref="N317:N333" si="467">6.45-3.55</f>
        <v>2.9000000000000004</v>
      </c>
      <c r="O317" s="22">
        <v>7.4999999999999997E-2</v>
      </c>
      <c r="P317" s="23">
        <v>1</v>
      </c>
      <c r="Q317" s="3"/>
      <c r="R317" s="3"/>
      <c r="S317" s="3"/>
      <c r="T317" s="3"/>
      <c r="U317" s="3"/>
      <c r="V317" s="23"/>
      <c r="W317" s="3"/>
      <c r="X317" s="3"/>
      <c r="Y317" s="17"/>
      <c r="Z317" s="17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12">
        <f t="shared" si="420"/>
        <v>4.1325000000000003</v>
      </c>
      <c r="AL317" s="12">
        <f t="shared" si="421"/>
        <v>4.1325000000000003</v>
      </c>
      <c r="AM317" s="12">
        <f t="shared" si="422"/>
        <v>0.30993750000000003</v>
      </c>
      <c r="AN317" s="12">
        <f t="shared" si="423"/>
        <v>0.30993750000000003</v>
      </c>
      <c r="AO317" s="12" t="str">
        <f t="shared" si="424"/>
        <v/>
      </c>
      <c r="AP317" s="12">
        <f t="shared" si="425"/>
        <v>1.425</v>
      </c>
      <c r="AQ317" s="12" t="str">
        <f t="shared" si="426"/>
        <v/>
      </c>
      <c r="AR317" s="12" t="str">
        <f t="shared" si="427"/>
        <v/>
      </c>
      <c r="AS317" s="12" t="str">
        <f t="shared" si="428"/>
        <v/>
      </c>
      <c r="AT317" s="12" t="str">
        <f t="shared" si="429"/>
        <v/>
      </c>
      <c r="AU317" s="12" t="str">
        <f t="shared" si="430"/>
        <v/>
      </c>
      <c r="AV317" s="17"/>
      <c r="AX317" s="4"/>
    </row>
    <row r="318" spans="1:50" x14ac:dyDescent="0.25">
      <c r="A318" s="43" t="s">
        <v>276</v>
      </c>
      <c r="B318" s="52" t="s">
        <v>742</v>
      </c>
      <c r="C318" s="44"/>
      <c r="D318" s="43"/>
      <c r="E318" s="52" t="s">
        <v>518</v>
      </c>
      <c r="F318" s="46"/>
      <c r="G318" s="76" t="s">
        <v>1105</v>
      </c>
      <c r="H318" s="48" t="s">
        <v>1106</v>
      </c>
      <c r="I318" s="48"/>
      <c r="J318" s="84" t="s">
        <v>1144</v>
      </c>
      <c r="K318" s="85"/>
      <c r="L318" s="47" t="s">
        <v>622</v>
      </c>
      <c r="M318" s="3">
        <f>0.635*2+0.155+0.33*2</f>
        <v>2.085</v>
      </c>
      <c r="N318" s="3">
        <f t="shared" si="467"/>
        <v>2.9000000000000004</v>
      </c>
      <c r="O318" s="22">
        <v>0.155</v>
      </c>
      <c r="P318" s="23">
        <v>1</v>
      </c>
      <c r="Q318" s="3"/>
      <c r="R318" s="3"/>
      <c r="S318" s="3"/>
      <c r="T318" s="3"/>
      <c r="U318" s="3"/>
      <c r="V318" s="23"/>
      <c r="W318" s="3"/>
      <c r="X318" s="3"/>
      <c r="Y318" s="17"/>
      <c r="Z318" s="17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12">
        <f t="shared" ref="AK318" si="468">IF(((M318*N318)-Q318-R318-S318+T318+U318)=0,"",((M318*N318)-Q318-R318-S318+T318+U318))</f>
        <v>6.0465000000000009</v>
      </c>
      <c r="AL318" s="12">
        <f t="shared" ref="AL318" si="469">IF(PRODUCT(P318,AK318)=0,"",P318*AK318)</f>
        <v>6.0465000000000009</v>
      </c>
      <c r="AM318" s="12">
        <f t="shared" ref="AM318" si="470">IF(PRODUCT(AK318,O318)=0,"",AK318*O318)</f>
        <v>0.93720750000000008</v>
      </c>
      <c r="AN318" s="12">
        <f t="shared" ref="AN318" si="471">IF(PRODUCT(AM318,P318)=0,"",AM318*P318)</f>
        <v>0.93720750000000008</v>
      </c>
      <c r="AO318" s="12" t="str">
        <f t="shared" ref="AO318" si="472">IF(N318*V318-W318+X318=0,"",N318*V318-W318+X318)</f>
        <v/>
      </c>
      <c r="AP318" s="12">
        <f t="shared" ref="AP318" si="473">IF(PRODUCT(M318,P318)=0,"",M318*P318)</f>
        <v>2.085</v>
      </c>
      <c r="AQ318" s="12" t="str">
        <f t="shared" ref="AQ318" si="474">IF(AA318+AB318=0,"",AA318+AB318)</f>
        <v/>
      </c>
      <c r="AR318" s="12" t="str">
        <f t="shared" ref="AR318" si="475">IF(AC318+AD318=0,"",AC318+AD318)</f>
        <v/>
      </c>
      <c r="AS318" s="12" t="str">
        <f t="shared" ref="AS318" si="476">IF((AE318*AH318*AI318)*P318=0,"",(AE318*AH318*AI318)*P318)</f>
        <v/>
      </c>
      <c r="AT318" s="12" t="str">
        <f t="shared" ref="AT318" si="477">IF(AJ318*P318=0,"",AJ318*P318)</f>
        <v/>
      </c>
      <c r="AU318" s="12" t="str">
        <f t="shared" ref="AU318" si="478">IF(OR(H318="s1",H318="s2",H318="s3",H318="s4",H318="s4*",H318="s5",H318="s12",H318="s16"),IF(M318&gt;=4,M318,""),"")</f>
        <v/>
      </c>
      <c r="AV318" s="17"/>
      <c r="AX318" s="4"/>
    </row>
    <row r="319" spans="1:50" x14ac:dyDescent="0.25">
      <c r="A319" s="43" t="s">
        <v>276</v>
      </c>
      <c r="B319" s="52" t="s">
        <v>537</v>
      </c>
      <c r="C319" s="44"/>
      <c r="D319" s="43"/>
      <c r="E319" s="52" t="s">
        <v>518</v>
      </c>
      <c r="F319" s="46"/>
      <c r="G319" s="76" t="s">
        <v>725</v>
      </c>
      <c r="H319" s="48" t="s">
        <v>1104</v>
      </c>
      <c r="I319" s="48"/>
      <c r="J319" s="84" t="s">
        <v>1125</v>
      </c>
      <c r="K319" s="85"/>
      <c r="L319" s="47" t="s">
        <v>622</v>
      </c>
      <c r="M319" s="3">
        <f>1.885</f>
        <v>1.885</v>
      </c>
      <c r="N319" s="3">
        <f t="shared" si="467"/>
        <v>2.9000000000000004</v>
      </c>
      <c r="O319" s="22">
        <v>0.155</v>
      </c>
      <c r="P319" s="23">
        <v>1</v>
      </c>
      <c r="Q319" s="3"/>
      <c r="R319" s="3">
        <f>1.2*2.17</f>
        <v>2.6039999999999996</v>
      </c>
      <c r="S319" s="3"/>
      <c r="T319" s="3"/>
      <c r="U319" s="3"/>
      <c r="V319" s="23"/>
      <c r="W319" s="3"/>
      <c r="X319" s="3"/>
      <c r="Y319" s="17"/>
      <c r="Z319" s="17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12">
        <f t="shared" si="420"/>
        <v>2.8625000000000012</v>
      </c>
      <c r="AL319" s="12">
        <f t="shared" si="421"/>
        <v>2.8625000000000012</v>
      </c>
      <c r="AM319" s="12">
        <f t="shared" si="422"/>
        <v>0.44368750000000018</v>
      </c>
      <c r="AN319" s="12">
        <f t="shared" si="423"/>
        <v>0.44368750000000018</v>
      </c>
      <c r="AO319" s="12" t="str">
        <f t="shared" si="424"/>
        <v/>
      </c>
      <c r="AP319" s="12">
        <f t="shared" si="425"/>
        <v>1.885</v>
      </c>
      <c r="AQ319" s="12" t="str">
        <f t="shared" si="426"/>
        <v/>
      </c>
      <c r="AR319" s="12" t="str">
        <f t="shared" si="427"/>
        <v/>
      </c>
      <c r="AS319" s="12" t="str">
        <f t="shared" si="428"/>
        <v/>
      </c>
      <c r="AT319" s="12" t="str">
        <f t="shared" si="429"/>
        <v/>
      </c>
      <c r="AU319" s="12" t="str">
        <f t="shared" si="430"/>
        <v/>
      </c>
      <c r="AV319" s="17"/>
      <c r="AX319" s="4"/>
    </row>
    <row r="320" spans="1:50" x14ac:dyDescent="0.25">
      <c r="A320" s="43" t="s">
        <v>276</v>
      </c>
      <c r="B320" s="52" t="s">
        <v>675</v>
      </c>
      <c r="C320" s="44"/>
      <c r="D320" s="43"/>
      <c r="E320" s="52" t="s">
        <v>518</v>
      </c>
      <c r="F320" s="46"/>
      <c r="G320" s="76" t="s">
        <v>726</v>
      </c>
      <c r="H320" s="48" t="s">
        <v>1104</v>
      </c>
      <c r="I320" s="48"/>
      <c r="J320" s="84" t="s">
        <v>1125</v>
      </c>
      <c r="K320" s="85"/>
      <c r="L320" s="47" t="s">
        <v>622</v>
      </c>
      <c r="M320" s="3">
        <f>3.935</f>
        <v>3.9350000000000001</v>
      </c>
      <c r="N320" s="3">
        <f t="shared" si="467"/>
        <v>2.9000000000000004</v>
      </c>
      <c r="O320" s="22">
        <v>0.155</v>
      </c>
      <c r="P320" s="23">
        <v>1</v>
      </c>
      <c r="Q320" s="3"/>
      <c r="R320" s="3">
        <f>1.2*2.17*2</f>
        <v>5.2079999999999993</v>
      </c>
      <c r="S320" s="3"/>
      <c r="T320" s="3"/>
      <c r="U320" s="3"/>
      <c r="V320" s="23"/>
      <c r="W320" s="3"/>
      <c r="X320" s="3"/>
      <c r="Y320" s="17"/>
      <c r="Z320" s="17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12">
        <f t="shared" si="420"/>
        <v>6.2035000000000027</v>
      </c>
      <c r="AL320" s="12">
        <f t="shared" si="421"/>
        <v>6.2035000000000027</v>
      </c>
      <c r="AM320" s="12">
        <f t="shared" si="422"/>
        <v>0.96154250000000041</v>
      </c>
      <c r="AN320" s="12">
        <f t="shared" si="423"/>
        <v>0.96154250000000041</v>
      </c>
      <c r="AO320" s="12" t="str">
        <f t="shared" si="424"/>
        <v/>
      </c>
      <c r="AP320" s="12">
        <f t="shared" si="425"/>
        <v>3.9350000000000001</v>
      </c>
      <c r="AQ320" s="12" t="str">
        <f t="shared" si="426"/>
        <v/>
      </c>
      <c r="AR320" s="12" t="str">
        <f t="shared" si="427"/>
        <v/>
      </c>
      <c r="AS320" s="12" t="str">
        <f t="shared" si="428"/>
        <v/>
      </c>
      <c r="AT320" s="12" t="str">
        <f t="shared" si="429"/>
        <v/>
      </c>
      <c r="AU320" s="12" t="str">
        <f t="shared" si="430"/>
        <v/>
      </c>
      <c r="AV320" s="17"/>
      <c r="AX320" s="4"/>
    </row>
    <row r="321" spans="1:50" x14ac:dyDescent="0.25">
      <c r="A321" s="43" t="s">
        <v>276</v>
      </c>
      <c r="B321" s="52" t="s">
        <v>652</v>
      </c>
      <c r="C321" s="44"/>
      <c r="D321" s="43"/>
      <c r="E321" s="52" t="s">
        <v>518</v>
      </c>
      <c r="F321" s="46"/>
      <c r="G321" s="76" t="s">
        <v>727</v>
      </c>
      <c r="H321" s="48" t="s">
        <v>1104</v>
      </c>
      <c r="I321" s="48"/>
      <c r="J321" s="84" t="s">
        <v>1125</v>
      </c>
      <c r="K321" s="85"/>
      <c r="L321" s="47" t="s">
        <v>622</v>
      </c>
      <c r="M321" s="3">
        <f>1.785</f>
        <v>1.7849999999999999</v>
      </c>
      <c r="N321" s="3">
        <f t="shared" si="467"/>
        <v>2.9000000000000004</v>
      </c>
      <c r="O321" s="22">
        <v>0.155</v>
      </c>
      <c r="P321" s="23">
        <v>1</v>
      </c>
      <c r="Q321" s="3"/>
      <c r="R321" s="3">
        <f>1.2*2.17</f>
        <v>2.6039999999999996</v>
      </c>
      <c r="S321" s="3"/>
      <c r="T321" s="3"/>
      <c r="U321" s="3"/>
      <c r="V321" s="23"/>
      <c r="W321" s="3"/>
      <c r="X321" s="3"/>
      <c r="Y321" s="17"/>
      <c r="Z321" s="17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12">
        <f t="shared" si="420"/>
        <v>2.5725000000000011</v>
      </c>
      <c r="AL321" s="12">
        <f t="shared" si="421"/>
        <v>2.5725000000000011</v>
      </c>
      <c r="AM321" s="12">
        <f t="shared" si="422"/>
        <v>0.39873750000000019</v>
      </c>
      <c r="AN321" s="12">
        <f t="shared" si="423"/>
        <v>0.39873750000000019</v>
      </c>
      <c r="AO321" s="12" t="str">
        <f t="shared" si="424"/>
        <v/>
      </c>
      <c r="AP321" s="12">
        <f t="shared" si="425"/>
        <v>1.7849999999999999</v>
      </c>
      <c r="AQ321" s="12" t="str">
        <f t="shared" si="426"/>
        <v/>
      </c>
      <c r="AR321" s="12" t="str">
        <f t="shared" si="427"/>
        <v/>
      </c>
      <c r="AS321" s="12" t="str">
        <f t="shared" si="428"/>
        <v/>
      </c>
      <c r="AT321" s="12" t="str">
        <f t="shared" si="429"/>
        <v/>
      </c>
      <c r="AU321" s="12" t="str">
        <f t="shared" si="430"/>
        <v/>
      </c>
      <c r="AV321" s="17"/>
      <c r="AX321" s="4"/>
    </row>
    <row r="322" spans="1:50" x14ac:dyDescent="0.25">
      <c r="A322" s="43" t="s">
        <v>276</v>
      </c>
      <c r="B322" s="52" t="s">
        <v>651</v>
      </c>
      <c r="C322" s="44"/>
      <c r="D322" s="43"/>
      <c r="E322" s="52" t="s">
        <v>518</v>
      </c>
      <c r="F322" s="46"/>
      <c r="G322" s="76" t="s">
        <v>728</v>
      </c>
      <c r="H322" s="48" t="s">
        <v>1104</v>
      </c>
      <c r="I322" s="48"/>
      <c r="J322" s="84" t="s">
        <v>1125</v>
      </c>
      <c r="K322" s="85"/>
      <c r="L322" s="47" t="s">
        <v>622</v>
      </c>
      <c r="M322" s="3">
        <f>2.13</f>
        <v>2.13</v>
      </c>
      <c r="N322" s="3">
        <f t="shared" si="467"/>
        <v>2.9000000000000004</v>
      </c>
      <c r="O322" s="22">
        <v>0.155</v>
      </c>
      <c r="P322" s="23">
        <v>1</v>
      </c>
      <c r="Q322" s="3"/>
      <c r="R322" s="3">
        <f>1.2*2.17</f>
        <v>2.6039999999999996</v>
      </c>
      <c r="S322" s="3"/>
      <c r="T322" s="3"/>
      <c r="U322" s="3"/>
      <c r="V322" s="23"/>
      <c r="W322" s="3"/>
      <c r="X322" s="3"/>
      <c r="Y322" s="17"/>
      <c r="Z322" s="17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12">
        <f t="shared" si="420"/>
        <v>3.5730000000000008</v>
      </c>
      <c r="AL322" s="12">
        <f t="shared" si="421"/>
        <v>3.5730000000000008</v>
      </c>
      <c r="AM322" s="12">
        <f t="shared" si="422"/>
        <v>0.55381500000000017</v>
      </c>
      <c r="AN322" s="12">
        <f t="shared" si="423"/>
        <v>0.55381500000000017</v>
      </c>
      <c r="AO322" s="12" t="str">
        <f t="shared" si="424"/>
        <v/>
      </c>
      <c r="AP322" s="12">
        <f t="shared" si="425"/>
        <v>2.13</v>
      </c>
      <c r="AQ322" s="12" t="str">
        <f t="shared" si="426"/>
        <v/>
      </c>
      <c r="AR322" s="12" t="str">
        <f t="shared" si="427"/>
        <v/>
      </c>
      <c r="AS322" s="12" t="str">
        <f t="shared" si="428"/>
        <v/>
      </c>
      <c r="AT322" s="12" t="str">
        <f t="shared" si="429"/>
        <v/>
      </c>
      <c r="AU322" s="12" t="str">
        <f t="shared" si="430"/>
        <v/>
      </c>
      <c r="AV322" s="17"/>
      <c r="AX322" s="4"/>
    </row>
    <row r="323" spans="1:50" x14ac:dyDescent="0.25">
      <c r="A323" s="43" t="s">
        <v>276</v>
      </c>
      <c r="B323" s="52" t="s">
        <v>654</v>
      </c>
      <c r="C323" s="44"/>
      <c r="D323" s="43"/>
      <c r="E323" s="52" t="s">
        <v>518</v>
      </c>
      <c r="F323" s="46"/>
      <c r="G323" s="76" t="s">
        <v>729</v>
      </c>
      <c r="H323" s="48" t="s">
        <v>1104</v>
      </c>
      <c r="I323" s="48"/>
      <c r="J323" s="84" t="s">
        <v>1125</v>
      </c>
      <c r="K323" s="85"/>
      <c r="L323" s="47" t="s">
        <v>622</v>
      </c>
      <c r="M323" s="3">
        <f>1.24+0.625</f>
        <v>1.865</v>
      </c>
      <c r="N323" s="3">
        <f t="shared" si="467"/>
        <v>2.9000000000000004</v>
      </c>
      <c r="O323" s="22">
        <v>0.155</v>
      </c>
      <c r="P323" s="23">
        <v>1</v>
      </c>
      <c r="Q323" s="3"/>
      <c r="R323" s="3">
        <f>1.2*2.17</f>
        <v>2.6039999999999996</v>
      </c>
      <c r="S323" s="3"/>
      <c r="T323" s="3"/>
      <c r="U323" s="3"/>
      <c r="V323" s="23"/>
      <c r="W323" s="3"/>
      <c r="X323" s="3"/>
      <c r="Y323" s="17"/>
      <c r="Z323" s="17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12">
        <f t="shared" si="420"/>
        <v>2.8045000000000013</v>
      </c>
      <c r="AL323" s="12">
        <f t="shared" si="421"/>
        <v>2.8045000000000013</v>
      </c>
      <c r="AM323" s="12">
        <f t="shared" si="422"/>
        <v>0.43469750000000018</v>
      </c>
      <c r="AN323" s="12">
        <f t="shared" si="423"/>
        <v>0.43469750000000018</v>
      </c>
      <c r="AO323" s="12" t="str">
        <f t="shared" si="424"/>
        <v/>
      </c>
      <c r="AP323" s="12">
        <f t="shared" si="425"/>
        <v>1.865</v>
      </c>
      <c r="AQ323" s="12" t="str">
        <f t="shared" si="426"/>
        <v/>
      </c>
      <c r="AR323" s="12" t="str">
        <f t="shared" si="427"/>
        <v/>
      </c>
      <c r="AS323" s="12" t="str">
        <f t="shared" si="428"/>
        <v/>
      </c>
      <c r="AT323" s="12" t="str">
        <f t="shared" si="429"/>
        <v/>
      </c>
      <c r="AU323" s="12" t="str">
        <f t="shared" si="430"/>
        <v/>
      </c>
      <c r="AV323" s="17"/>
      <c r="AX323" s="4"/>
    </row>
    <row r="324" spans="1:50" x14ac:dyDescent="0.25">
      <c r="A324" s="43" t="s">
        <v>276</v>
      </c>
      <c r="B324" s="52" t="s">
        <v>743</v>
      </c>
      <c r="C324" s="44"/>
      <c r="D324" s="43"/>
      <c r="E324" s="52" t="s">
        <v>518</v>
      </c>
      <c r="F324" s="46"/>
      <c r="G324" s="76" t="s">
        <v>730</v>
      </c>
      <c r="H324" s="48" t="s">
        <v>1106</v>
      </c>
      <c r="I324" s="48"/>
      <c r="J324" s="84" t="s">
        <v>1145</v>
      </c>
      <c r="K324" s="85"/>
      <c r="L324" s="47" t="s">
        <v>622</v>
      </c>
      <c r="M324" s="3">
        <f>4.575</f>
        <v>4.5750000000000002</v>
      </c>
      <c r="N324" s="3">
        <f>6.45-3.5</f>
        <v>2.95</v>
      </c>
      <c r="O324" s="22">
        <v>0.155</v>
      </c>
      <c r="P324" s="23">
        <v>1</v>
      </c>
      <c r="Q324" s="3"/>
      <c r="R324" s="3"/>
      <c r="S324" s="3"/>
      <c r="T324" s="3"/>
      <c r="U324" s="3"/>
      <c r="V324" s="23"/>
      <c r="W324" s="3"/>
      <c r="X324" s="3"/>
      <c r="Y324" s="17"/>
      <c r="Z324" s="17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12">
        <f t="shared" si="420"/>
        <v>13.496250000000002</v>
      </c>
      <c r="AL324" s="12">
        <f t="shared" si="421"/>
        <v>13.496250000000002</v>
      </c>
      <c r="AM324" s="12">
        <f t="shared" si="422"/>
        <v>2.09191875</v>
      </c>
      <c r="AN324" s="12">
        <f t="shared" si="423"/>
        <v>2.09191875</v>
      </c>
      <c r="AO324" s="12" t="str">
        <f t="shared" si="424"/>
        <v/>
      </c>
      <c r="AP324" s="12">
        <f t="shared" si="425"/>
        <v>4.5750000000000002</v>
      </c>
      <c r="AQ324" s="12" t="str">
        <f t="shared" si="426"/>
        <v/>
      </c>
      <c r="AR324" s="12" t="str">
        <f t="shared" si="427"/>
        <v/>
      </c>
      <c r="AS324" s="12" t="str">
        <f t="shared" si="428"/>
        <v/>
      </c>
      <c r="AT324" s="12" t="str">
        <f t="shared" si="429"/>
        <v/>
      </c>
      <c r="AU324" s="12" t="str">
        <f t="shared" si="430"/>
        <v/>
      </c>
      <c r="AV324" s="17"/>
      <c r="AX324" s="4"/>
    </row>
    <row r="325" spans="1:50" x14ac:dyDescent="0.25">
      <c r="A325" s="43" t="s">
        <v>276</v>
      </c>
      <c r="B325" s="52" t="s">
        <v>744</v>
      </c>
      <c r="C325" s="44"/>
      <c r="D325" s="43"/>
      <c r="E325" s="52" t="s">
        <v>518</v>
      </c>
      <c r="F325" s="46"/>
      <c r="G325" s="76" t="s">
        <v>731</v>
      </c>
      <c r="H325" s="48" t="s">
        <v>1106</v>
      </c>
      <c r="I325" s="48"/>
      <c r="J325" s="84" t="s">
        <v>1145</v>
      </c>
      <c r="K325" s="85"/>
      <c r="L325" s="47" t="s">
        <v>622</v>
      </c>
      <c r="M325" s="3">
        <f>4.575</f>
        <v>4.5750000000000002</v>
      </c>
      <c r="N325" s="3">
        <f t="shared" ref="N325:N327" si="479">6.45-3.5</f>
        <v>2.95</v>
      </c>
      <c r="O325" s="22">
        <v>0.155</v>
      </c>
      <c r="P325" s="23">
        <v>1</v>
      </c>
      <c r="Q325" s="3"/>
      <c r="R325" s="3"/>
      <c r="S325" s="3"/>
      <c r="T325" s="3"/>
      <c r="U325" s="3"/>
      <c r="V325" s="23"/>
      <c r="W325" s="3"/>
      <c r="X325" s="3"/>
      <c r="Y325" s="17"/>
      <c r="Z325" s="17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12">
        <f t="shared" si="420"/>
        <v>13.496250000000002</v>
      </c>
      <c r="AL325" s="12">
        <f t="shared" si="421"/>
        <v>13.496250000000002</v>
      </c>
      <c r="AM325" s="12">
        <f t="shared" si="422"/>
        <v>2.09191875</v>
      </c>
      <c r="AN325" s="12">
        <f t="shared" si="423"/>
        <v>2.09191875</v>
      </c>
      <c r="AO325" s="12" t="str">
        <f t="shared" si="424"/>
        <v/>
      </c>
      <c r="AP325" s="12">
        <f t="shared" si="425"/>
        <v>4.5750000000000002</v>
      </c>
      <c r="AQ325" s="12" t="str">
        <f t="shared" si="426"/>
        <v/>
      </c>
      <c r="AR325" s="12" t="str">
        <f t="shared" si="427"/>
        <v/>
      </c>
      <c r="AS325" s="12" t="str">
        <f t="shared" si="428"/>
        <v/>
      </c>
      <c r="AT325" s="12" t="str">
        <f t="shared" si="429"/>
        <v/>
      </c>
      <c r="AU325" s="12" t="str">
        <f t="shared" si="430"/>
        <v/>
      </c>
      <c r="AV325" s="17"/>
      <c r="AX325" s="4"/>
    </row>
    <row r="326" spans="1:50" x14ac:dyDescent="0.25">
      <c r="A326" s="43" t="s">
        <v>276</v>
      </c>
      <c r="B326" s="52" t="s">
        <v>532</v>
      </c>
      <c r="C326" s="44"/>
      <c r="D326" s="43"/>
      <c r="E326" s="52" t="s">
        <v>518</v>
      </c>
      <c r="F326" s="46"/>
      <c r="G326" s="76" t="s">
        <v>732</v>
      </c>
      <c r="H326" s="48" t="s">
        <v>1106</v>
      </c>
      <c r="I326" s="48"/>
      <c r="J326" s="84" t="s">
        <v>1145</v>
      </c>
      <c r="K326" s="85"/>
      <c r="L326" s="47" t="s">
        <v>622</v>
      </c>
      <c r="M326" s="3">
        <f>0.185+1.905+1+0.155</f>
        <v>3.2449999999999997</v>
      </c>
      <c r="N326" s="3">
        <f t="shared" si="479"/>
        <v>2.95</v>
      </c>
      <c r="O326" s="22">
        <v>0.155</v>
      </c>
      <c r="P326" s="23">
        <v>1</v>
      </c>
      <c r="Q326" s="3"/>
      <c r="R326" s="3"/>
      <c r="S326" s="3"/>
      <c r="T326" s="3"/>
      <c r="U326" s="3"/>
      <c r="V326" s="23"/>
      <c r="W326" s="3"/>
      <c r="X326" s="3"/>
      <c r="Y326" s="17"/>
      <c r="Z326" s="17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12">
        <f t="shared" si="420"/>
        <v>9.5727499999999992</v>
      </c>
      <c r="AL326" s="12">
        <f t="shared" si="421"/>
        <v>9.5727499999999992</v>
      </c>
      <c r="AM326" s="12">
        <f t="shared" si="422"/>
        <v>1.4837762499999998</v>
      </c>
      <c r="AN326" s="12">
        <f t="shared" si="423"/>
        <v>1.4837762499999998</v>
      </c>
      <c r="AO326" s="12" t="str">
        <f t="shared" si="424"/>
        <v/>
      </c>
      <c r="AP326" s="12">
        <f t="shared" si="425"/>
        <v>3.2449999999999997</v>
      </c>
      <c r="AQ326" s="12" t="str">
        <f t="shared" si="426"/>
        <v/>
      </c>
      <c r="AR326" s="12" t="str">
        <f t="shared" si="427"/>
        <v/>
      </c>
      <c r="AS326" s="12" t="str">
        <f t="shared" si="428"/>
        <v/>
      </c>
      <c r="AT326" s="12" t="str">
        <f t="shared" si="429"/>
        <v/>
      </c>
      <c r="AU326" s="12" t="str">
        <f t="shared" si="430"/>
        <v/>
      </c>
      <c r="AV326" s="17"/>
      <c r="AX326" s="4"/>
    </row>
    <row r="327" spans="1:50" x14ac:dyDescent="0.25">
      <c r="A327" s="43" t="s">
        <v>276</v>
      </c>
      <c r="B327" s="52" t="s">
        <v>621</v>
      </c>
      <c r="C327" s="44"/>
      <c r="D327" s="43"/>
      <c r="E327" s="52" t="s">
        <v>518</v>
      </c>
      <c r="F327" s="46"/>
      <c r="G327" s="76" t="s">
        <v>774</v>
      </c>
      <c r="H327" s="48" t="s">
        <v>1106</v>
      </c>
      <c r="I327" s="48"/>
      <c r="J327" s="84" t="s">
        <v>1145</v>
      </c>
      <c r="K327" s="85"/>
      <c r="L327" s="47" t="s">
        <v>622</v>
      </c>
      <c r="M327" s="3">
        <f>0.185+1.9+0.155</f>
        <v>2.2399999999999998</v>
      </c>
      <c r="N327" s="3">
        <f t="shared" si="479"/>
        <v>2.95</v>
      </c>
      <c r="O327" s="22">
        <v>0.155</v>
      </c>
      <c r="P327" s="23">
        <v>1</v>
      </c>
      <c r="Q327" s="3"/>
      <c r="R327" s="3"/>
      <c r="S327" s="3"/>
      <c r="T327" s="3"/>
      <c r="U327" s="3"/>
      <c r="V327" s="23"/>
      <c r="W327" s="3"/>
      <c r="X327" s="3"/>
      <c r="Y327" s="17"/>
      <c r="Z327" s="17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12">
        <f t="shared" ref="AK327" si="480">IF(((M327*N327)-Q327-R327-S327+T327+U327)=0,"",((M327*N327)-Q327-R327-S327+T327+U327))</f>
        <v>6.6079999999999997</v>
      </c>
      <c r="AL327" s="12">
        <f t="shared" ref="AL327" si="481">IF(PRODUCT(P327,AK327)=0,"",P327*AK327)</f>
        <v>6.6079999999999997</v>
      </c>
      <c r="AM327" s="12">
        <f t="shared" ref="AM327" si="482">IF(PRODUCT(AK327,O327)=0,"",AK327*O327)</f>
        <v>1.02424</v>
      </c>
      <c r="AN327" s="12">
        <f t="shared" ref="AN327" si="483">IF(PRODUCT(AM327,P327)=0,"",AM327*P327)</f>
        <v>1.02424</v>
      </c>
      <c r="AO327" s="12" t="str">
        <f t="shared" ref="AO327" si="484">IF(N327*V327-W327+X327=0,"",N327*V327-W327+X327)</f>
        <v/>
      </c>
      <c r="AP327" s="12">
        <f t="shared" ref="AP327" si="485">IF(PRODUCT(M327,P327)=0,"",M327*P327)</f>
        <v>2.2399999999999998</v>
      </c>
      <c r="AQ327" s="12" t="str">
        <f t="shared" ref="AQ327" si="486">IF(AA327+AB327=0,"",AA327+AB327)</f>
        <v/>
      </c>
      <c r="AR327" s="12" t="str">
        <f t="shared" ref="AR327" si="487">IF(AC327+AD327=0,"",AC327+AD327)</f>
        <v/>
      </c>
      <c r="AS327" s="12" t="str">
        <f t="shared" ref="AS327" si="488">IF((AE327*AH327*AI327)*P327=0,"",(AE327*AH327*AI327)*P327)</f>
        <v/>
      </c>
      <c r="AT327" s="12" t="str">
        <f t="shared" ref="AT327" si="489">IF(AJ327*P327=0,"",AJ327*P327)</f>
        <v/>
      </c>
      <c r="AU327" s="12" t="str">
        <f t="shared" ref="AU327" si="490">IF(OR(H327="s1",H327="s2",H327="s3",H327="s4",H327="s4*",H327="s5",H327="s12",H327="s16"),IF(M327&gt;=4,M327,""),"")</f>
        <v/>
      </c>
      <c r="AV327" s="17"/>
      <c r="AX327" s="4"/>
    </row>
    <row r="328" spans="1:50" x14ac:dyDescent="0.25">
      <c r="A328" s="43" t="s">
        <v>276</v>
      </c>
      <c r="B328" s="52" t="s">
        <v>745</v>
      </c>
      <c r="C328" s="44"/>
      <c r="D328" s="43"/>
      <c r="E328" s="52" t="s">
        <v>518</v>
      </c>
      <c r="F328" s="46"/>
      <c r="G328" s="76" t="s">
        <v>733</v>
      </c>
      <c r="H328" s="48" t="s">
        <v>1106</v>
      </c>
      <c r="I328" s="48"/>
      <c r="J328" s="84" t="s">
        <v>1145</v>
      </c>
      <c r="K328" s="85"/>
      <c r="L328" s="47" t="s">
        <v>622</v>
      </c>
      <c r="M328" s="3">
        <f>4.575</f>
        <v>4.5750000000000002</v>
      </c>
      <c r="N328" s="3">
        <f>6.45-3.55</f>
        <v>2.9000000000000004</v>
      </c>
      <c r="O328" s="22">
        <v>0.155</v>
      </c>
      <c r="P328" s="23">
        <v>1</v>
      </c>
      <c r="Q328" s="3"/>
      <c r="R328" s="3"/>
      <c r="S328" s="3"/>
      <c r="T328" s="3"/>
      <c r="U328" s="3"/>
      <c r="V328" s="23"/>
      <c r="W328" s="3"/>
      <c r="X328" s="3"/>
      <c r="Y328" s="17"/>
      <c r="Z328" s="17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12">
        <f t="shared" si="420"/>
        <v>13.267500000000002</v>
      </c>
      <c r="AL328" s="12">
        <f t="shared" si="421"/>
        <v>13.267500000000002</v>
      </c>
      <c r="AM328" s="12">
        <f t="shared" si="422"/>
        <v>2.0564625000000003</v>
      </c>
      <c r="AN328" s="12">
        <f t="shared" si="423"/>
        <v>2.0564625000000003</v>
      </c>
      <c r="AO328" s="12" t="str">
        <f t="shared" si="424"/>
        <v/>
      </c>
      <c r="AP328" s="12">
        <f t="shared" si="425"/>
        <v>4.5750000000000002</v>
      </c>
      <c r="AQ328" s="12" t="str">
        <f t="shared" si="426"/>
        <v/>
      </c>
      <c r="AR328" s="12" t="str">
        <f t="shared" si="427"/>
        <v/>
      </c>
      <c r="AS328" s="12" t="str">
        <f t="shared" si="428"/>
        <v/>
      </c>
      <c r="AT328" s="12" t="str">
        <f t="shared" si="429"/>
        <v/>
      </c>
      <c r="AU328" s="12" t="str">
        <f t="shared" si="430"/>
        <v/>
      </c>
      <c r="AV328" s="17"/>
      <c r="AX328" s="4"/>
    </row>
    <row r="329" spans="1:50" x14ac:dyDescent="0.25">
      <c r="A329" s="43" t="s">
        <v>276</v>
      </c>
      <c r="B329" s="52" t="s">
        <v>746</v>
      </c>
      <c r="C329" s="44"/>
      <c r="D329" s="43"/>
      <c r="E329" s="52" t="s">
        <v>518</v>
      </c>
      <c r="F329" s="46"/>
      <c r="G329" s="76" t="s">
        <v>734</v>
      </c>
      <c r="H329" s="48" t="s">
        <v>1106</v>
      </c>
      <c r="I329" s="48"/>
      <c r="J329" s="84" t="s">
        <v>1145</v>
      </c>
      <c r="K329" s="85"/>
      <c r="L329" s="47" t="s">
        <v>622</v>
      </c>
      <c r="M329" s="3">
        <f>4.575</f>
        <v>4.5750000000000002</v>
      </c>
      <c r="N329" s="3">
        <f t="shared" si="467"/>
        <v>2.9000000000000004</v>
      </c>
      <c r="O329" s="22">
        <v>0.155</v>
      </c>
      <c r="P329" s="23">
        <v>1</v>
      </c>
      <c r="Q329" s="3"/>
      <c r="R329" s="3"/>
      <c r="S329" s="3"/>
      <c r="T329" s="3"/>
      <c r="U329" s="3"/>
      <c r="V329" s="23"/>
      <c r="W329" s="3"/>
      <c r="X329" s="3"/>
      <c r="Y329" s="17"/>
      <c r="Z329" s="17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12">
        <f t="shared" si="420"/>
        <v>13.267500000000002</v>
      </c>
      <c r="AL329" s="12">
        <f t="shared" si="421"/>
        <v>13.267500000000002</v>
      </c>
      <c r="AM329" s="12">
        <f t="shared" si="422"/>
        <v>2.0564625000000003</v>
      </c>
      <c r="AN329" s="12">
        <f t="shared" si="423"/>
        <v>2.0564625000000003</v>
      </c>
      <c r="AO329" s="12" t="str">
        <f t="shared" si="424"/>
        <v/>
      </c>
      <c r="AP329" s="12">
        <f t="shared" si="425"/>
        <v>4.5750000000000002</v>
      </c>
      <c r="AQ329" s="12" t="str">
        <f t="shared" si="426"/>
        <v/>
      </c>
      <c r="AR329" s="12" t="str">
        <f t="shared" si="427"/>
        <v/>
      </c>
      <c r="AS329" s="12" t="str">
        <f t="shared" si="428"/>
        <v/>
      </c>
      <c r="AT329" s="12" t="str">
        <f t="shared" si="429"/>
        <v/>
      </c>
      <c r="AU329" s="12" t="str">
        <f t="shared" si="430"/>
        <v/>
      </c>
      <c r="AV329" s="17"/>
      <c r="AX329" s="4"/>
    </row>
    <row r="330" spans="1:50" x14ac:dyDescent="0.25">
      <c r="A330" s="43" t="s">
        <v>276</v>
      </c>
      <c r="B330" s="52" t="s">
        <v>673</v>
      </c>
      <c r="C330" s="44"/>
      <c r="D330" s="43"/>
      <c r="E330" s="52" t="s">
        <v>518</v>
      </c>
      <c r="F330" s="46"/>
      <c r="G330" s="76" t="s">
        <v>735</v>
      </c>
      <c r="H330" s="48" t="s">
        <v>1106</v>
      </c>
      <c r="I330" s="48"/>
      <c r="J330" s="84" t="s">
        <v>1145</v>
      </c>
      <c r="K330" s="85"/>
      <c r="L330" s="47" t="s">
        <v>622</v>
      </c>
      <c r="M330" s="3">
        <f>2.355</f>
        <v>2.355</v>
      </c>
      <c r="N330" s="3">
        <f t="shared" si="467"/>
        <v>2.9000000000000004</v>
      </c>
      <c r="O330" s="22">
        <v>0.155</v>
      </c>
      <c r="P330" s="23">
        <v>1</v>
      </c>
      <c r="Q330" s="3"/>
      <c r="R330" s="3"/>
      <c r="S330" s="3"/>
      <c r="T330" s="3"/>
      <c r="U330" s="3"/>
      <c r="V330" s="23"/>
      <c r="W330" s="3"/>
      <c r="X330" s="3"/>
      <c r="Y330" s="17"/>
      <c r="Z330" s="17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12">
        <f t="shared" si="420"/>
        <v>6.8295000000000003</v>
      </c>
      <c r="AL330" s="12">
        <f t="shared" si="421"/>
        <v>6.8295000000000003</v>
      </c>
      <c r="AM330" s="12">
        <f t="shared" si="422"/>
        <v>1.0585725000000001</v>
      </c>
      <c r="AN330" s="12">
        <f t="shared" si="423"/>
        <v>1.0585725000000001</v>
      </c>
      <c r="AO330" s="12" t="str">
        <f t="shared" si="424"/>
        <v/>
      </c>
      <c r="AP330" s="12">
        <f t="shared" si="425"/>
        <v>2.355</v>
      </c>
      <c r="AQ330" s="12" t="str">
        <f t="shared" si="426"/>
        <v/>
      </c>
      <c r="AR330" s="12" t="str">
        <f t="shared" si="427"/>
        <v/>
      </c>
      <c r="AS330" s="12" t="str">
        <f t="shared" si="428"/>
        <v/>
      </c>
      <c r="AT330" s="12" t="str">
        <f t="shared" si="429"/>
        <v/>
      </c>
      <c r="AU330" s="12" t="str">
        <f t="shared" si="430"/>
        <v/>
      </c>
      <c r="AV330" s="17"/>
      <c r="AX330" s="4"/>
    </row>
    <row r="331" spans="1:50" x14ac:dyDescent="0.25">
      <c r="A331" s="43" t="s">
        <v>276</v>
      </c>
      <c r="B331" s="52" t="s">
        <v>673</v>
      </c>
      <c r="C331" s="44"/>
      <c r="D331" s="43"/>
      <c r="E331" s="52" t="s">
        <v>518</v>
      </c>
      <c r="F331" s="46"/>
      <c r="G331" s="76" t="s">
        <v>736</v>
      </c>
      <c r="H331" s="48" t="s">
        <v>1107</v>
      </c>
      <c r="I331" s="48"/>
      <c r="J331" s="84" t="s">
        <v>1145</v>
      </c>
      <c r="K331" s="85"/>
      <c r="L331" s="47" t="s">
        <v>622</v>
      </c>
      <c r="M331" s="3">
        <v>2.665</v>
      </c>
      <c r="N331" s="3">
        <f t="shared" si="467"/>
        <v>2.9000000000000004</v>
      </c>
      <c r="O331" s="22">
        <v>0.3</v>
      </c>
      <c r="P331" s="23">
        <v>1</v>
      </c>
      <c r="Q331" s="3"/>
      <c r="R331" s="3"/>
      <c r="S331" s="3"/>
      <c r="T331" s="3"/>
      <c r="U331" s="3"/>
      <c r="V331" s="23"/>
      <c r="W331" s="3"/>
      <c r="X331" s="3"/>
      <c r="Y331" s="17"/>
      <c r="Z331" s="17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12">
        <f t="shared" si="420"/>
        <v>7.7285000000000013</v>
      </c>
      <c r="AL331" s="12">
        <f t="shared" si="421"/>
        <v>7.7285000000000013</v>
      </c>
      <c r="AM331" s="12">
        <f t="shared" si="422"/>
        <v>2.3185500000000001</v>
      </c>
      <c r="AN331" s="12">
        <f t="shared" si="423"/>
        <v>2.3185500000000001</v>
      </c>
      <c r="AO331" s="12" t="str">
        <f t="shared" si="424"/>
        <v/>
      </c>
      <c r="AP331" s="12">
        <f t="shared" si="425"/>
        <v>2.665</v>
      </c>
      <c r="AQ331" s="12" t="str">
        <f t="shared" si="426"/>
        <v/>
      </c>
      <c r="AR331" s="12" t="str">
        <f t="shared" si="427"/>
        <v/>
      </c>
      <c r="AS331" s="12" t="str">
        <f t="shared" si="428"/>
        <v/>
      </c>
      <c r="AT331" s="12" t="str">
        <f t="shared" si="429"/>
        <v/>
      </c>
      <c r="AU331" s="12" t="str">
        <f t="shared" si="430"/>
        <v/>
      </c>
      <c r="AV331" s="17"/>
      <c r="AX331" s="4"/>
    </row>
    <row r="332" spans="1:50" x14ac:dyDescent="0.25">
      <c r="A332" s="43" t="s">
        <v>276</v>
      </c>
      <c r="B332" s="52" t="s">
        <v>747</v>
      </c>
      <c r="C332" s="44"/>
      <c r="D332" s="43"/>
      <c r="E332" s="52" t="s">
        <v>518</v>
      </c>
      <c r="F332" s="46"/>
      <c r="G332" s="76" t="s">
        <v>737</v>
      </c>
      <c r="H332" s="48" t="s">
        <v>1106</v>
      </c>
      <c r="I332" s="48"/>
      <c r="J332" s="84" t="s">
        <v>1145</v>
      </c>
      <c r="K332" s="85"/>
      <c r="L332" s="47" t="s">
        <v>622</v>
      </c>
      <c r="M332" s="3">
        <f>4.575</f>
        <v>4.5750000000000002</v>
      </c>
      <c r="N332" s="3">
        <f t="shared" si="467"/>
        <v>2.9000000000000004</v>
      </c>
      <c r="O332" s="22">
        <v>0.155</v>
      </c>
      <c r="P332" s="23">
        <v>1</v>
      </c>
      <c r="Q332" s="3"/>
      <c r="R332" s="3"/>
      <c r="S332" s="3"/>
      <c r="T332" s="3"/>
      <c r="U332" s="3"/>
      <c r="V332" s="23"/>
      <c r="W332" s="3"/>
      <c r="X332" s="3"/>
      <c r="Y332" s="17"/>
      <c r="Z332" s="17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12">
        <f t="shared" si="420"/>
        <v>13.267500000000002</v>
      </c>
      <c r="AL332" s="12">
        <f t="shared" si="421"/>
        <v>13.267500000000002</v>
      </c>
      <c r="AM332" s="12">
        <f t="shared" si="422"/>
        <v>2.0564625000000003</v>
      </c>
      <c r="AN332" s="12">
        <f t="shared" si="423"/>
        <v>2.0564625000000003</v>
      </c>
      <c r="AO332" s="12" t="str">
        <f t="shared" si="424"/>
        <v/>
      </c>
      <c r="AP332" s="12">
        <f t="shared" si="425"/>
        <v>4.5750000000000002</v>
      </c>
      <c r="AQ332" s="12" t="str">
        <f t="shared" si="426"/>
        <v/>
      </c>
      <c r="AR332" s="12" t="str">
        <f t="shared" si="427"/>
        <v/>
      </c>
      <c r="AS332" s="12" t="str">
        <f t="shared" si="428"/>
        <v/>
      </c>
      <c r="AT332" s="12" t="str">
        <f t="shared" si="429"/>
        <v/>
      </c>
      <c r="AU332" s="12" t="str">
        <f t="shared" si="430"/>
        <v/>
      </c>
      <c r="AV332" s="17"/>
      <c r="AX332" s="4"/>
    </row>
    <row r="333" spans="1:50" x14ac:dyDescent="0.25">
      <c r="A333" s="43" t="s">
        <v>276</v>
      </c>
      <c r="B333" s="52" t="s">
        <v>748</v>
      </c>
      <c r="C333" s="44"/>
      <c r="D333" s="43"/>
      <c r="E333" s="52" t="s">
        <v>518</v>
      </c>
      <c r="F333" s="46"/>
      <c r="G333" s="76" t="s">
        <v>738</v>
      </c>
      <c r="H333" s="48" t="s">
        <v>1106</v>
      </c>
      <c r="I333" s="48"/>
      <c r="J333" s="84" t="s">
        <v>1145</v>
      </c>
      <c r="K333" s="85"/>
      <c r="L333" s="47" t="s">
        <v>622</v>
      </c>
      <c r="M333" s="3">
        <f>5.475</f>
        <v>5.4749999999999996</v>
      </c>
      <c r="N333" s="3">
        <f t="shared" si="467"/>
        <v>2.9000000000000004</v>
      </c>
      <c r="O333" s="22">
        <v>0.155</v>
      </c>
      <c r="P333" s="23">
        <v>1</v>
      </c>
      <c r="Q333" s="3"/>
      <c r="R333" s="3"/>
      <c r="S333" s="3"/>
      <c r="T333" s="3"/>
      <c r="U333" s="3"/>
      <c r="V333" s="23"/>
      <c r="W333" s="3"/>
      <c r="X333" s="3"/>
      <c r="Y333" s="17"/>
      <c r="Z333" s="17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12">
        <f t="shared" si="420"/>
        <v>15.877500000000001</v>
      </c>
      <c r="AL333" s="12">
        <f t="shared" si="421"/>
        <v>15.877500000000001</v>
      </c>
      <c r="AM333" s="12">
        <f t="shared" si="422"/>
        <v>2.4610125000000003</v>
      </c>
      <c r="AN333" s="12">
        <f t="shared" si="423"/>
        <v>2.4610125000000003</v>
      </c>
      <c r="AO333" s="12" t="str">
        <f t="shared" si="424"/>
        <v/>
      </c>
      <c r="AP333" s="12">
        <f t="shared" si="425"/>
        <v>5.4749999999999996</v>
      </c>
      <c r="AQ333" s="12" t="str">
        <f t="shared" si="426"/>
        <v/>
      </c>
      <c r="AR333" s="12" t="str">
        <f t="shared" si="427"/>
        <v/>
      </c>
      <c r="AS333" s="12" t="str">
        <f t="shared" si="428"/>
        <v/>
      </c>
      <c r="AT333" s="12" t="str">
        <f t="shared" si="429"/>
        <v/>
      </c>
      <c r="AU333" s="12" t="str">
        <f t="shared" si="430"/>
        <v/>
      </c>
      <c r="AV333" s="17"/>
      <c r="AX333" s="4"/>
    </row>
    <row r="334" spans="1:50" x14ac:dyDescent="0.25">
      <c r="A334" s="43" t="s">
        <v>276</v>
      </c>
      <c r="B334" s="52" t="s">
        <v>526</v>
      </c>
      <c r="C334" s="44"/>
      <c r="D334" s="43"/>
      <c r="E334" s="52" t="s">
        <v>716</v>
      </c>
      <c r="F334" s="46"/>
      <c r="G334" s="76" t="s">
        <v>749</v>
      </c>
      <c r="H334" s="48" t="s">
        <v>1108</v>
      </c>
      <c r="I334" s="48"/>
      <c r="J334" s="84" t="s">
        <v>1131</v>
      </c>
      <c r="K334" s="85"/>
      <c r="L334" s="47" t="s">
        <v>567</v>
      </c>
      <c r="M334" s="3">
        <v>2.5</v>
      </c>
      <c r="N334" s="3">
        <f>6.45-3.5</f>
        <v>2.95</v>
      </c>
      <c r="O334" s="22">
        <v>0.46500000000000002</v>
      </c>
      <c r="P334" s="23">
        <v>1</v>
      </c>
      <c r="Q334" s="3"/>
      <c r="R334" s="3"/>
      <c r="S334" s="3"/>
      <c r="T334" s="3"/>
      <c r="U334" s="3"/>
      <c r="V334" s="23"/>
      <c r="W334" s="3"/>
      <c r="X334" s="3"/>
      <c r="Y334" s="17"/>
      <c r="Z334" s="17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12">
        <f t="shared" si="420"/>
        <v>7.375</v>
      </c>
      <c r="AL334" s="12">
        <f t="shared" si="421"/>
        <v>7.375</v>
      </c>
      <c r="AM334" s="12">
        <f t="shared" si="422"/>
        <v>3.4293750000000003</v>
      </c>
      <c r="AN334" s="12">
        <f t="shared" si="423"/>
        <v>3.4293750000000003</v>
      </c>
      <c r="AO334" s="12" t="str">
        <f t="shared" si="424"/>
        <v/>
      </c>
      <c r="AP334" s="12">
        <f t="shared" si="425"/>
        <v>2.5</v>
      </c>
      <c r="AQ334" s="12" t="str">
        <f t="shared" si="426"/>
        <v/>
      </c>
      <c r="AR334" s="12" t="str">
        <f t="shared" si="427"/>
        <v/>
      </c>
      <c r="AS334" s="12" t="str">
        <f t="shared" si="428"/>
        <v/>
      </c>
      <c r="AT334" s="12" t="str">
        <f t="shared" si="429"/>
        <v/>
      </c>
      <c r="AU334" s="12" t="str">
        <f t="shared" si="430"/>
        <v/>
      </c>
      <c r="AV334" s="17"/>
      <c r="AX334" s="4"/>
    </row>
    <row r="335" spans="1:50" x14ac:dyDescent="0.25">
      <c r="A335" s="43" t="s">
        <v>276</v>
      </c>
      <c r="B335" s="52" t="s">
        <v>528</v>
      </c>
      <c r="C335" s="44"/>
      <c r="D335" s="43"/>
      <c r="E335" s="52" t="s">
        <v>530</v>
      </c>
      <c r="F335" s="46"/>
      <c r="G335" s="76" t="s">
        <v>750</v>
      </c>
      <c r="H335" s="48" t="s">
        <v>1108</v>
      </c>
      <c r="I335" s="48"/>
      <c r="J335" s="84" t="s">
        <v>1131</v>
      </c>
      <c r="K335" s="85"/>
      <c r="L335" s="47" t="s">
        <v>567</v>
      </c>
      <c r="M335" s="3">
        <v>2.5</v>
      </c>
      <c r="N335" s="3">
        <f t="shared" ref="N335:N339" si="491">6.45-3.5</f>
        <v>2.95</v>
      </c>
      <c r="O335" s="22">
        <v>0.46500000000000002</v>
      </c>
      <c r="P335" s="23">
        <v>1</v>
      </c>
      <c r="Q335" s="3"/>
      <c r="R335" s="3"/>
      <c r="S335" s="3"/>
      <c r="T335" s="3"/>
      <c r="U335" s="3"/>
      <c r="V335" s="23"/>
      <c r="W335" s="3"/>
      <c r="X335" s="3"/>
      <c r="Y335" s="17"/>
      <c r="Z335" s="17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12">
        <f t="shared" si="420"/>
        <v>7.375</v>
      </c>
      <c r="AL335" s="12">
        <f t="shared" si="421"/>
        <v>7.375</v>
      </c>
      <c r="AM335" s="12">
        <f t="shared" si="422"/>
        <v>3.4293750000000003</v>
      </c>
      <c r="AN335" s="12">
        <f t="shared" si="423"/>
        <v>3.4293750000000003</v>
      </c>
      <c r="AO335" s="12" t="str">
        <f t="shared" si="424"/>
        <v/>
      </c>
      <c r="AP335" s="12">
        <f t="shared" si="425"/>
        <v>2.5</v>
      </c>
      <c r="AQ335" s="12" t="str">
        <f t="shared" si="426"/>
        <v/>
      </c>
      <c r="AR335" s="12" t="str">
        <f t="shared" si="427"/>
        <v/>
      </c>
      <c r="AS335" s="12" t="str">
        <f t="shared" si="428"/>
        <v/>
      </c>
      <c r="AT335" s="12" t="str">
        <f t="shared" si="429"/>
        <v/>
      </c>
      <c r="AU335" s="12" t="str">
        <f t="shared" si="430"/>
        <v/>
      </c>
      <c r="AV335" s="17"/>
      <c r="AX335" s="4"/>
    </row>
    <row r="336" spans="1:50" x14ac:dyDescent="0.25">
      <c r="A336" s="43" t="s">
        <v>276</v>
      </c>
      <c r="B336" s="52" t="s">
        <v>532</v>
      </c>
      <c r="C336" s="44"/>
      <c r="D336" s="43"/>
      <c r="E336" s="52"/>
      <c r="F336" s="46"/>
      <c r="G336" s="76" t="s">
        <v>751</v>
      </c>
      <c r="H336" s="48" t="s">
        <v>1090</v>
      </c>
      <c r="I336" s="48"/>
      <c r="J336" s="84" t="s">
        <v>1131</v>
      </c>
      <c r="K336" s="85"/>
      <c r="L336" s="47" t="s">
        <v>562</v>
      </c>
      <c r="M336" s="3">
        <v>2.5</v>
      </c>
      <c r="N336" s="3">
        <f t="shared" si="491"/>
        <v>2.95</v>
      </c>
      <c r="O336" s="22">
        <v>0.185</v>
      </c>
      <c r="P336" s="23">
        <v>1</v>
      </c>
      <c r="Q336" s="3"/>
      <c r="R336" s="3"/>
      <c r="S336" s="3"/>
      <c r="T336" s="3"/>
      <c r="U336" s="3"/>
      <c r="V336" s="23"/>
      <c r="W336" s="3"/>
      <c r="X336" s="3"/>
      <c r="Y336" s="17"/>
      <c r="Z336" s="17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12">
        <f t="shared" si="420"/>
        <v>7.375</v>
      </c>
      <c r="AL336" s="12">
        <f t="shared" si="421"/>
        <v>7.375</v>
      </c>
      <c r="AM336" s="12">
        <f t="shared" si="422"/>
        <v>1.3643749999999999</v>
      </c>
      <c r="AN336" s="12">
        <f t="shared" si="423"/>
        <v>1.3643749999999999</v>
      </c>
      <c r="AO336" s="12" t="str">
        <f t="shared" si="424"/>
        <v/>
      </c>
      <c r="AP336" s="12">
        <f t="shared" si="425"/>
        <v>2.5</v>
      </c>
      <c r="AQ336" s="12" t="str">
        <f t="shared" si="426"/>
        <v/>
      </c>
      <c r="AR336" s="12" t="str">
        <f t="shared" si="427"/>
        <v/>
      </c>
      <c r="AS336" s="12" t="str">
        <f t="shared" si="428"/>
        <v/>
      </c>
      <c r="AT336" s="12" t="str">
        <f t="shared" si="429"/>
        <v/>
      </c>
      <c r="AU336" s="12" t="str">
        <f t="shared" si="430"/>
        <v/>
      </c>
      <c r="AV336" s="17"/>
      <c r="AX336" s="4"/>
    </row>
    <row r="337" spans="1:50" x14ac:dyDescent="0.25">
      <c r="A337" s="43" t="s">
        <v>276</v>
      </c>
      <c r="B337" s="52" t="s">
        <v>532</v>
      </c>
      <c r="C337" s="44"/>
      <c r="D337" s="43"/>
      <c r="E337" s="52"/>
      <c r="F337" s="46"/>
      <c r="G337" s="76" t="s">
        <v>1109</v>
      </c>
      <c r="H337" s="48" t="s">
        <v>1110</v>
      </c>
      <c r="I337" s="48"/>
      <c r="J337" s="84" t="s">
        <v>1146</v>
      </c>
      <c r="K337" s="85"/>
      <c r="L337" s="47" t="s">
        <v>1111</v>
      </c>
      <c r="M337" s="3">
        <v>1</v>
      </c>
      <c r="N337" s="3">
        <v>1.9</v>
      </c>
      <c r="O337" s="22">
        <v>0.05</v>
      </c>
      <c r="P337" s="23">
        <v>1</v>
      </c>
      <c r="Q337" s="3"/>
      <c r="R337" s="3"/>
      <c r="S337" s="3"/>
      <c r="T337" s="3"/>
      <c r="U337" s="3"/>
      <c r="V337" s="23"/>
      <c r="W337" s="3"/>
      <c r="X337" s="3"/>
      <c r="Y337" s="17"/>
      <c r="Z337" s="17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12">
        <f t="shared" ref="AK337" si="492">IF(((M337*N337)-Q337-R337-S337+T337+U337)=0,"",((M337*N337)-Q337-R337-S337+T337+U337))</f>
        <v>1.9</v>
      </c>
      <c r="AL337" s="12">
        <f t="shared" ref="AL337" si="493">IF(PRODUCT(P337,AK337)=0,"",P337*AK337)</f>
        <v>1.9</v>
      </c>
      <c r="AM337" s="12">
        <f t="shared" ref="AM337" si="494">IF(PRODUCT(AK337,O337)=0,"",AK337*O337)</f>
        <v>9.5000000000000001E-2</v>
      </c>
      <c r="AN337" s="12">
        <f t="shared" ref="AN337" si="495">IF(PRODUCT(AM337,P337)=0,"",AM337*P337)</f>
        <v>9.5000000000000001E-2</v>
      </c>
      <c r="AO337" s="12" t="str">
        <f t="shared" ref="AO337" si="496">IF(N337*V337-W337+X337=0,"",N337*V337-W337+X337)</f>
        <v/>
      </c>
      <c r="AP337" s="12">
        <f t="shared" ref="AP337" si="497">IF(PRODUCT(M337,P337)=0,"",M337*P337)</f>
        <v>1</v>
      </c>
      <c r="AQ337" s="12" t="str">
        <f t="shared" ref="AQ337" si="498">IF(AA337+AB337=0,"",AA337+AB337)</f>
        <v/>
      </c>
      <c r="AR337" s="12" t="str">
        <f t="shared" ref="AR337" si="499">IF(AC337+AD337=0,"",AC337+AD337)</f>
        <v/>
      </c>
      <c r="AS337" s="12" t="str">
        <f t="shared" ref="AS337" si="500">IF((AE337*AH337*AI337)*P337=0,"",(AE337*AH337*AI337)*P337)</f>
        <v/>
      </c>
      <c r="AT337" s="12" t="str">
        <f t="shared" ref="AT337" si="501">IF(AJ337*P337=0,"",AJ337*P337)</f>
        <v/>
      </c>
      <c r="AU337" s="12" t="str">
        <f t="shared" ref="AU337" si="502">IF(OR(H337="s1",H337="s2",H337="s3",H337="s4",H337="s4*",H337="s5",H337="s12",H337="s16"),IF(M337&gt;=4,M337,""),"")</f>
        <v/>
      </c>
      <c r="AV337" s="17"/>
      <c r="AX337" s="4"/>
    </row>
    <row r="338" spans="1:50" x14ac:dyDescent="0.25">
      <c r="A338" s="43" t="s">
        <v>276</v>
      </c>
      <c r="B338" s="52" t="s">
        <v>532</v>
      </c>
      <c r="C338" s="44"/>
      <c r="D338" s="43"/>
      <c r="E338" s="52"/>
      <c r="F338" s="46"/>
      <c r="G338" s="76" t="s">
        <v>1109</v>
      </c>
      <c r="H338" s="48" t="s">
        <v>1110</v>
      </c>
      <c r="I338" s="48"/>
      <c r="J338" s="84" t="s">
        <v>1146</v>
      </c>
      <c r="K338" s="85"/>
      <c r="L338" s="47" t="s">
        <v>1111</v>
      </c>
      <c r="M338" s="3">
        <v>1</v>
      </c>
      <c r="N338" s="3">
        <v>0.25</v>
      </c>
      <c r="O338" s="22">
        <v>0.05</v>
      </c>
      <c r="P338" s="23">
        <v>1</v>
      </c>
      <c r="Q338" s="3"/>
      <c r="R338" s="3"/>
      <c r="S338" s="3"/>
      <c r="T338" s="3"/>
      <c r="U338" s="3"/>
      <c r="V338" s="23"/>
      <c r="W338" s="3"/>
      <c r="X338" s="3"/>
      <c r="Y338" s="17"/>
      <c r="Z338" s="17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12">
        <f t="shared" ref="AK338" si="503">IF(((M338*N338)-Q338-R338-S338+T338+U338)=0,"",((M338*N338)-Q338-R338-S338+T338+U338))</f>
        <v>0.25</v>
      </c>
      <c r="AL338" s="12">
        <f t="shared" ref="AL338" si="504">IF(PRODUCT(P338,AK338)=0,"",P338*AK338)</f>
        <v>0.25</v>
      </c>
      <c r="AM338" s="12">
        <f t="shared" ref="AM338" si="505">IF(PRODUCT(AK338,O338)=0,"",AK338*O338)</f>
        <v>1.2500000000000001E-2</v>
      </c>
      <c r="AN338" s="12">
        <f t="shared" ref="AN338" si="506">IF(PRODUCT(AM338,P338)=0,"",AM338*P338)</f>
        <v>1.2500000000000001E-2</v>
      </c>
      <c r="AO338" s="12" t="str">
        <f t="shared" ref="AO338" si="507">IF(N338*V338-W338+X338=0,"",N338*V338-W338+X338)</f>
        <v/>
      </c>
      <c r="AP338" s="12">
        <f t="shared" ref="AP338" si="508">IF(PRODUCT(M338,P338)=0,"",M338*P338)</f>
        <v>1</v>
      </c>
      <c r="AQ338" s="12" t="str">
        <f t="shared" ref="AQ338" si="509">IF(AA338+AB338=0,"",AA338+AB338)</f>
        <v/>
      </c>
      <c r="AR338" s="12" t="str">
        <f t="shared" ref="AR338" si="510">IF(AC338+AD338=0,"",AC338+AD338)</f>
        <v/>
      </c>
      <c r="AS338" s="12" t="str">
        <f t="shared" ref="AS338" si="511">IF((AE338*AH338*AI338)*P338=0,"",(AE338*AH338*AI338)*P338)</f>
        <v/>
      </c>
      <c r="AT338" s="12" t="str">
        <f t="shared" ref="AT338" si="512">IF(AJ338*P338=0,"",AJ338*P338)</f>
        <v/>
      </c>
      <c r="AU338" s="12" t="str">
        <f t="shared" ref="AU338" si="513">IF(OR(H338="s1",H338="s2",H338="s3",H338="s4",H338="s4*",H338="s5",H338="s12",H338="s16"),IF(M338&gt;=4,M338,""),"")</f>
        <v/>
      </c>
      <c r="AV338" s="17"/>
      <c r="AX338" s="4"/>
    </row>
    <row r="339" spans="1:50" x14ac:dyDescent="0.25">
      <c r="A339" s="43" t="s">
        <v>276</v>
      </c>
      <c r="B339" s="52" t="s">
        <v>621</v>
      </c>
      <c r="C339" s="44"/>
      <c r="D339" s="43"/>
      <c r="E339" s="52"/>
      <c r="F339" s="46"/>
      <c r="G339" s="76" t="s">
        <v>752</v>
      </c>
      <c r="H339" s="48" t="s">
        <v>1090</v>
      </c>
      <c r="I339" s="48"/>
      <c r="J339" s="84" t="s">
        <v>1131</v>
      </c>
      <c r="K339" s="85"/>
      <c r="L339" s="47" t="s">
        <v>562</v>
      </c>
      <c r="M339" s="3">
        <v>2.5</v>
      </c>
      <c r="N339" s="3">
        <f t="shared" si="491"/>
        <v>2.95</v>
      </c>
      <c r="O339" s="22">
        <v>0.185</v>
      </c>
      <c r="P339" s="23">
        <v>1</v>
      </c>
      <c r="Q339" s="3"/>
      <c r="R339" s="3"/>
      <c r="S339" s="3"/>
      <c r="T339" s="3"/>
      <c r="U339" s="3"/>
      <c r="V339" s="23"/>
      <c r="W339" s="3"/>
      <c r="X339" s="3"/>
      <c r="Y339" s="17"/>
      <c r="Z339" s="17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12">
        <f t="shared" si="420"/>
        <v>7.375</v>
      </c>
      <c r="AL339" s="12">
        <f t="shared" si="421"/>
        <v>7.375</v>
      </c>
      <c r="AM339" s="12">
        <f t="shared" si="422"/>
        <v>1.3643749999999999</v>
      </c>
      <c r="AN339" s="12">
        <f t="shared" si="423"/>
        <v>1.3643749999999999</v>
      </c>
      <c r="AO339" s="12" t="str">
        <f t="shared" si="424"/>
        <v/>
      </c>
      <c r="AP339" s="12">
        <f t="shared" si="425"/>
        <v>2.5</v>
      </c>
      <c r="AQ339" s="12" t="str">
        <f t="shared" si="426"/>
        <v/>
      </c>
      <c r="AR339" s="12" t="str">
        <f t="shared" si="427"/>
        <v/>
      </c>
      <c r="AS339" s="12" t="str">
        <f t="shared" si="428"/>
        <v/>
      </c>
      <c r="AT339" s="12" t="str">
        <f t="shared" si="429"/>
        <v/>
      </c>
      <c r="AU339" s="12" t="str">
        <f t="shared" si="430"/>
        <v/>
      </c>
      <c r="AV339" s="17"/>
      <c r="AX339" s="4"/>
    </row>
    <row r="340" spans="1:50" x14ac:dyDescent="0.25">
      <c r="A340" s="43" t="s">
        <v>276</v>
      </c>
      <c r="B340" s="52" t="s">
        <v>621</v>
      </c>
      <c r="C340" s="44"/>
      <c r="D340" s="43"/>
      <c r="E340" s="52"/>
      <c r="F340" s="46"/>
      <c r="G340" s="76" t="s">
        <v>1112</v>
      </c>
      <c r="H340" s="48" t="s">
        <v>1110</v>
      </c>
      <c r="I340" s="48"/>
      <c r="J340" s="84" t="s">
        <v>1146</v>
      </c>
      <c r="K340" s="85"/>
      <c r="L340" s="47" t="s">
        <v>1111</v>
      </c>
      <c r="M340" s="3">
        <v>0.78</v>
      </c>
      <c r="N340" s="3">
        <v>0.25</v>
      </c>
      <c r="O340" s="22">
        <v>0.05</v>
      </c>
      <c r="P340" s="23">
        <v>1</v>
      </c>
      <c r="Q340" s="3"/>
      <c r="R340" s="3"/>
      <c r="S340" s="3"/>
      <c r="T340" s="3"/>
      <c r="U340" s="3"/>
      <c r="V340" s="23"/>
      <c r="W340" s="3"/>
      <c r="X340" s="3"/>
      <c r="Y340" s="17"/>
      <c r="Z340" s="17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12">
        <f t="shared" si="420"/>
        <v>0.19500000000000001</v>
      </c>
      <c r="AL340" s="12">
        <f t="shared" si="421"/>
        <v>0.19500000000000001</v>
      </c>
      <c r="AM340" s="12">
        <f t="shared" si="422"/>
        <v>9.7500000000000017E-3</v>
      </c>
      <c r="AN340" s="12">
        <f t="shared" si="423"/>
        <v>9.7500000000000017E-3</v>
      </c>
      <c r="AO340" s="12" t="str">
        <f t="shared" si="424"/>
        <v/>
      </c>
      <c r="AP340" s="12">
        <f t="shared" si="425"/>
        <v>0.78</v>
      </c>
      <c r="AQ340" s="12" t="str">
        <f t="shared" si="426"/>
        <v/>
      </c>
      <c r="AR340" s="12" t="str">
        <f t="shared" si="427"/>
        <v/>
      </c>
      <c r="AS340" s="12" t="str">
        <f t="shared" si="428"/>
        <v/>
      </c>
      <c r="AT340" s="12" t="str">
        <f t="shared" si="429"/>
        <v/>
      </c>
      <c r="AU340" s="12" t="str">
        <f t="shared" si="430"/>
        <v/>
      </c>
      <c r="AV340" s="17"/>
      <c r="AX340" s="4"/>
    </row>
    <row r="341" spans="1:50" x14ac:dyDescent="0.25">
      <c r="A341" s="43" t="s">
        <v>276</v>
      </c>
      <c r="B341" s="52" t="s">
        <v>624</v>
      </c>
      <c r="C341" s="44"/>
      <c r="D341" s="43"/>
      <c r="E341" s="52" t="s">
        <v>771</v>
      </c>
      <c r="F341" s="46"/>
      <c r="G341" s="76" t="s">
        <v>753</v>
      </c>
      <c r="H341" s="48" t="s">
        <v>1108</v>
      </c>
      <c r="I341" s="48"/>
      <c r="J341" s="84" t="s">
        <v>1131</v>
      </c>
      <c r="K341" s="85"/>
      <c r="L341" s="47" t="s">
        <v>567</v>
      </c>
      <c r="M341" s="3">
        <v>2.5</v>
      </c>
      <c r="N341" s="3">
        <f>6.45-3.55</f>
        <v>2.9000000000000004</v>
      </c>
      <c r="O341" s="22">
        <v>0.46500000000000002</v>
      </c>
      <c r="P341" s="23">
        <v>1</v>
      </c>
      <c r="Q341" s="3"/>
      <c r="R341" s="3"/>
      <c r="S341" s="3"/>
      <c r="T341" s="3"/>
      <c r="U341" s="3"/>
      <c r="V341" s="23"/>
      <c r="W341" s="3"/>
      <c r="X341" s="3"/>
      <c r="Y341" s="17"/>
      <c r="Z341" s="17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12">
        <f t="shared" si="420"/>
        <v>7.2500000000000009</v>
      </c>
      <c r="AL341" s="12">
        <f t="shared" si="421"/>
        <v>7.2500000000000009</v>
      </c>
      <c r="AM341" s="12">
        <f t="shared" si="422"/>
        <v>3.3712500000000007</v>
      </c>
      <c r="AN341" s="12">
        <f t="shared" si="423"/>
        <v>3.3712500000000007</v>
      </c>
      <c r="AO341" s="12" t="str">
        <f t="shared" si="424"/>
        <v/>
      </c>
      <c r="AP341" s="12">
        <f t="shared" si="425"/>
        <v>2.5</v>
      </c>
      <c r="AQ341" s="12" t="str">
        <f t="shared" si="426"/>
        <v/>
      </c>
      <c r="AR341" s="12" t="str">
        <f t="shared" si="427"/>
        <v/>
      </c>
      <c r="AS341" s="12" t="str">
        <f t="shared" si="428"/>
        <v/>
      </c>
      <c r="AT341" s="12" t="str">
        <f t="shared" si="429"/>
        <v/>
      </c>
      <c r="AU341" s="12" t="str">
        <f t="shared" si="430"/>
        <v/>
      </c>
      <c r="AV341" s="17"/>
      <c r="AX341" s="4"/>
    </row>
    <row r="342" spans="1:50" x14ac:dyDescent="0.25">
      <c r="A342" s="43" t="s">
        <v>276</v>
      </c>
      <c r="B342" s="52" t="s">
        <v>533</v>
      </c>
      <c r="C342" s="44"/>
      <c r="D342" s="43"/>
      <c r="E342" s="52" t="s">
        <v>676</v>
      </c>
      <c r="F342" s="46"/>
      <c r="G342" s="76" t="s">
        <v>754</v>
      </c>
      <c r="H342" s="48" t="s">
        <v>1108</v>
      </c>
      <c r="I342" s="48"/>
      <c r="J342" s="84" t="s">
        <v>1131</v>
      </c>
      <c r="K342" s="85"/>
      <c r="L342" s="47" t="s">
        <v>567</v>
      </c>
      <c r="M342" s="3">
        <v>2.5</v>
      </c>
      <c r="N342" s="3">
        <f t="shared" ref="N342:N344" si="514">6.45-3.55</f>
        <v>2.9000000000000004</v>
      </c>
      <c r="O342" s="22">
        <v>0.46500000000000002</v>
      </c>
      <c r="P342" s="23">
        <v>1</v>
      </c>
      <c r="Q342" s="3"/>
      <c r="R342" s="3"/>
      <c r="S342" s="3"/>
      <c r="T342" s="3"/>
      <c r="U342" s="3"/>
      <c r="V342" s="23"/>
      <c r="W342" s="3"/>
      <c r="X342" s="3"/>
      <c r="Y342" s="17"/>
      <c r="Z342" s="17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12">
        <f t="shared" si="420"/>
        <v>7.2500000000000009</v>
      </c>
      <c r="AL342" s="12">
        <f t="shared" si="421"/>
        <v>7.2500000000000009</v>
      </c>
      <c r="AM342" s="12">
        <f t="shared" si="422"/>
        <v>3.3712500000000007</v>
      </c>
      <c r="AN342" s="12">
        <f t="shared" si="423"/>
        <v>3.3712500000000007</v>
      </c>
      <c r="AO342" s="12" t="str">
        <f t="shared" si="424"/>
        <v/>
      </c>
      <c r="AP342" s="12">
        <f t="shared" si="425"/>
        <v>2.5</v>
      </c>
      <c r="AQ342" s="12" t="str">
        <f t="shared" si="426"/>
        <v/>
      </c>
      <c r="AR342" s="12" t="str">
        <f t="shared" si="427"/>
        <v/>
      </c>
      <c r="AS342" s="12" t="str">
        <f t="shared" si="428"/>
        <v/>
      </c>
      <c r="AT342" s="12" t="str">
        <f t="shared" si="429"/>
        <v/>
      </c>
      <c r="AU342" s="12" t="str">
        <f t="shared" si="430"/>
        <v/>
      </c>
      <c r="AV342" s="17"/>
      <c r="AX342" s="4"/>
    </row>
    <row r="343" spans="1:50" x14ac:dyDescent="0.25">
      <c r="A343" s="43" t="s">
        <v>276</v>
      </c>
      <c r="B343" s="52" t="s">
        <v>656</v>
      </c>
      <c r="C343" s="44"/>
      <c r="D343" s="43"/>
      <c r="E343" s="52" t="s">
        <v>650</v>
      </c>
      <c r="F343" s="46"/>
      <c r="G343" s="76" t="s">
        <v>755</v>
      </c>
      <c r="H343" s="48" t="s">
        <v>1108</v>
      </c>
      <c r="I343" s="48"/>
      <c r="J343" s="84" t="s">
        <v>1131</v>
      </c>
      <c r="K343" s="85"/>
      <c r="L343" s="47" t="s">
        <v>567</v>
      </c>
      <c r="M343" s="3">
        <v>2.5</v>
      </c>
      <c r="N343" s="3">
        <f t="shared" si="514"/>
        <v>2.9000000000000004</v>
      </c>
      <c r="O343" s="22">
        <v>0.46500000000000002</v>
      </c>
      <c r="P343" s="23">
        <v>1</v>
      </c>
      <c r="Q343" s="3"/>
      <c r="R343" s="3"/>
      <c r="S343" s="3"/>
      <c r="T343" s="3"/>
      <c r="U343" s="3"/>
      <c r="V343" s="23"/>
      <c r="W343" s="3"/>
      <c r="X343" s="3"/>
      <c r="Y343" s="17"/>
      <c r="Z343" s="17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12">
        <f t="shared" si="420"/>
        <v>7.2500000000000009</v>
      </c>
      <c r="AL343" s="12">
        <f t="shared" si="421"/>
        <v>7.2500000000000009</v>
      </c>
      <c r="AM343" s="12">
        <f t="shared" si="422"/>
        <v>3.3712500000000007</v>
      </c>
      <c r="AN343" s="12">
        <f t="shared" si="423"/>
        <v>3.3712500000000007</v>
      </c>
      <c r="AO343" s="12" t="str">
        <f t="shared" si="424"/>
        <v/>
      </c>
      <c r="AP343" s="12">
        <f t="shared" si="425"/>
        <v>2.5</v>
      </c>
      <c r="AQ343" s="12" t="str">
        <f t="shared" si="426"/>
        <v/>
      </c>
      <c r="AR343" s="12" t="str">
        <f t="shared" si="427"/>
        <v/>
      </c>
      <c r="AS343" s="12" t="str">
        <f t="shared" si="428"/>
        <v/>
      </c>
      <c r="AT343" s="12" t="str">
        <f t="shared" si="429"/>
        <v/>
      </c>
      <c r="AU343" s="12" t="str">
        <f t="shared" si="430"/>
        <v/>
      </c>
      <c r="AV343" s="17"/>
      <c r="AX343" s="4"/>
    </row>
    <row r="344" spans="1:50" x14ac:dyDescent="0.25">
      <c r="A344" s="43" t="s">
        <v>276</v>
      </c>
      <c r="B344" s="52" t="s">
        <v>653</v>
      </c>
      <c r="C344" s="44"/>
      <c r="D344" s="43"/>
      <c r="E344" s="52" t="s">
        <v>645</v>
      </c>
      <c r="F344" s="46"/>
      <c r="G344" s="76" t="s">
        <v>756</v>
      </c>
      <c r="H344" s="48" t="s">
        <v>1115</v>
      </c>
      <c r="I344" s="48"/>
      <c r="J344" s="84" t="s">
        <v>1131</v>
      </c>
      <c r="K344" s="85"/>
      <c r="L344" s="47" t="s">
        <v>567</v>
      </c>
      <c r="M344" s="3">
        <v>2.15</v>
      </c>
      <c r="N344" s="3">
        <f t="shared" si="514"/>
        <v>2.9000000000000004</v>
      </c>
      <c r="O344" s="22">
        <v>0.26500000000000001</v>
      </c>
      <c r="P344" s="23">
        <v>1</v>
      </c>
      <c r="Q344" s="3"/>
      <c r="R344" s="3"/>
      <c r="S344" s="3"/>
      <c r="T344" s="3"/>
      <c r="U344" s="3"/>
      <c r="V344" s="23"/>
      <c r="W344" s="3"/>
      <c r="X344" s="3"/>
      <c r="Y344" s="17"/>
      <c r="Z344" s="17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12">
        <f t="shared" si="420"/>
        <v>6.2350000000000003</v>
      </c>
      <c r="AL344" s="12">
        <f t="shared" si="421"/>
        <v>6.2350000000000003</v>
      </c>
      <c r="AM344" s="12">
        <f t="shared" si="422"/>
        <v>1.6522750000000002</v>
      </c>
      <c r="AN344" s="12">
        <f t="shared" si="423"/>
        <v>1.6522750000000002</v>
      </c>
      <c r="AO344" s="12" t="str">
        <f t="shared" si="424"/>
        <v/>
      </c>
      <c r="AP344" s="12">
        <f t="shared" si="425"/>
        <v>2.15</v>
      </c>
      <c r="AQ344" s="12" t="str">
        <f t="shared" si="426"/>
        <v/>
      </c>
      <c r="AR344" s="12" t="str">
        <f t="shared" si="427"/>
        <v/>
      </c>
      <c r="AS344" s="12" t="str">
        <f t="shared" si="428"/>
        <v/>
      </c>
      <c r="AT344" s="12" t="str">
        <f t="shared" si="429"/>
        <v/>
      </c>
      <c r="AU344" s="12" t="str">
        <f t="shared" si="430"/>
        <v/>
      </c>
      <c r="AV344" s="17"/>
      <c r="AX344" s="4"/>
    </row>
    <row r="345" spans="1:50" x14ac:dyDescent="0.25">
      <c r="A345" s="43" t="s">
        <v>276</v>
      </c>
      <c r="B345" s="52" t="s">
        <v>525</v>
      </c>
      <c r="C345" s="44"/>
      <c r="D345" s="43"/>
      <c r="E345" s="52" t="s">
        <v>526</v>
      </c>
      <c r="F345" s="46"/>
      <c r="G345" s="76" t="s">
        <v>757</v>
      </c>
      <c r="H345" s="48" t="s">
        <v>1093</v>
      </c>
      <c r="I345" s="48"/>
      <c r="J345" s="84" t="s">
        <v>1132</v>
      </c>
      <c r="K345" s="85"/>
      <c r="L345" s="47"/>
      <c r="M345" s="3">
        <v>1.51</v>
      </c>
      <c r="N345" s="3">
        <f>6.45-3.5</f>
        <v>2.95</v>
      </c>
      <c r="O345" s="22">
        <v>0.1</v>
      </c>
      <c r="P345" s="23">
        <v>1</v>
      </c>
      <c r="Q345" s="3"/>
      <c r="R345" s="3">
        <f>1.1*2.17</f>
        <v>2.387</v>
      </c>
      <c r="S345" s="3"/>
      <c r="T345" s="3"/>
      <c r="U345" s="3"/>
      <c r="V345" s="23"/>
      <c r="W345" s="3"/>
      <c r="X345" s="3"/>
      <c r="Y345" s="17"/>
      <c r="Z345" s="17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12">
        <f t="shared" si="420"/>
        <v>2.0675000000000003</v>
      </c>
      <c r="AL345" s="12">
        <f t="shared" si="421"/>
        <v>2.0675000000000003</v>
      </c>
      <c r="AM345" s="12">
        <f t="shared" si="422"/>
        <v>0.20675000000000004</v>
      </c>
      <c r="AN345" s="12">
        <f t="shared" si="423"/>
        <v>0.20675000000000004</v>
      </c>
      <c r="AO345" s="12" t="str">
        <f t="shared" si="424"/>
        <v/>
      </c>
      <c r="AP345" s="12">
        <f t="shared" si="425"/>
        <v>1.51</v>
      </c>
      <c r="AQ345" s="12" t="str">
        <f t="shared" si="426"/>
        <v/>
      </c>
      <c r="AR345" s="12" t="str">
        <f t="shared" si="427"/>
        <v/>
      </c>
      <c r="AS345" s="12" t="str">
        <f t="shared" si="428"/>
        <v/>
      </c>
      <c r="AT345" s="12" t="str">
        <f t="shared" si="429"/>
        <v/>
      </c>
      <c r="AU345" s="12" t="str">
        <f t="shared" si="430"/>
        <v/>
      </c>
      <c r="AV345" s="17"/>
      <c r="AX345" s="4"/>
    </row>
    <row r="346" spans="1:50" x14ac:dyDescent="0.25">
      <c r="A346" s="43" t="s">
        <v>276</v>
      </c>
      <c r="B346" s="52" t="s">
        <v>518</v>
      </c>
      <c r="C346" s="44"/>
      <c r="D346" s="43"/>
      <c r="E346" s="52"/>
      <c r="F346" s="46"/>
      <c r="G346" s="76" t="s">
        <v>1147</v>
      </c>
      <c r="H346" s="48" t="s">
        <v>1104</v>
      </c>
      <c r="I346" s="48"/>
      <c r="J346" s="84" t="s">
        <v>1132</v>
      </c>
      <c r="K346" s="85"/>
      <c r="L346" s="47"/>
      <c r="M346" s="3">
        <v>1.155</v>
      </c>
      <c r="N346" s="3">
        <f>6.45-3.5</f>
        <v>2.95</v>
      </c>
      <c r="O346" s="22">
        <v>0.155</v>
      </c>
      <c r="P346" s="23">
        <v>6</v>
      </c>
      <c r="Q346" s="3"/>
      <c r="R346" s="3"/>
      <c r="S346" s="3"/>
      <c r="T346" s="3"/>
      <c r="U346" s="3"/>
      <c r="V346" s="23"/>
      <c r="W346" s="3"/>
      <c r="X346" s="3"/>
      <c r="Y346" s="17"/>
      <c r="Z346" s="17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12">
        <f t="shared" ref="AK346" si="515">IF(((M346*N346)-Q346-R346-S346+T346+U346)=0,"",((M346*N346)-Q346-R346-S346+T346+U346))</f>
        <v>3.4072500000000003</v>
      </c>
      <c r="AL346" s="12">
        <f t="shared" ref="AL346" si="516">IF(PRODUCT(P346,AK346)=0,"",P346*AK346)</f>
        <v>20.4435</v>
      </c>
      <c r="AM346" s="12">
        <f t="shared" ref="AM346" si="517">IF(PRODUCT(AK346,O346)=0,"",AK346*O346)</f>
        <v>0.52812375</v>
      </c>
      <c r="AN346" s="12">
        <f t="shared" ref="AN346" si="518">IF(PRODUCT(AM346,P346)=0,"",AM346*P346)</f>
        <v>3.1687425</v>
      </c>
      <c r="AO346" s="12" t="str">
        <f t="shared" ref="AO346" si="519">IF(N346*V346-W346+X346=0,"",N346*V346-W346+X346)</f>
        <v/>
      </c>
      <c r="AP346" s="12">
        <f t="shared" ref="AP346" si="520">IF(PRODUCT(M346,P346)=0,"",M346*P346)</f>
        <v>6.93</v>
      </c>
      <c r="AQ346" s="12" t="str">
        <f t="shared" ref="AQ346" si="521">IF(AA346+AB346=0,"",AA346+AB346)</f>
        <v/>
      </c>
      <c r="AR346" s="12" t="str">
        <f t="shared" ref="AR346" si="522">IF(AC346+AD346=0,"",AC346+AD346)</f>
        <v/>
      </c>
      <c r="AS346" s="12" t="str">
        <f t="shared" ref="AS346" si="523">IF((AE346*AH346*AI346)*P346=0,"",(AE346*AH346*AI346)*P346)</f>
        <v/>
      </c>
      <c r="AT346" s="12" t="str">
        <f t="shared" ref="AT346" si="524">IF(AJ346*P346=0,"",AJ346*P346)</f>
        <v/>
      </c>
      <c r="AU346" s="12" t="str">
        <f t="shared" ref="AU346" si="525">IF(OR(H346="s1",H346="s2",H346="s3",H346="s4",H346="s4*",H346="s5",H346="s12",H346="s16"),IF(M346&gt;=4,M346,""),"")</f>
        <v/>
      </c>
      <c r="AV346" s="17"/>
      <c r="AX346" s="4"/>
    </row>
    <row r="347" spans="1:50" x14ac:dyDescent="0.25">
      <c r="A347" s="43" t="s">
        <v>276</v>
      </c>
      <c r="B347" s="52" t="s">
        <v>715</v>
      </c>
      <c r="C347" s="44"/>
      <c r="D347" s="43"/>
      <c r="E347" s="52" t="s">
        <v>716</v>
      </c>
      <c r="F347" s="46"/>
      <c r="G347" s="76" t="s">
        <v>758</v>
      </c>
      <c r="H347" s="48" t="s">
        <v>1093</v>
      </c>
      <c r="I347" s="48"/>
      <c r="J347" s="84" t="s">
        <v>1132</v>
      </c>
      <c r="K347" s="85"/>
      <c r="L347" s="47"/>
      <c r="M347" s="3">
        <v>1.51</v>
      </c>
      <c r="N347" s="3">
        <f t="shared" ref="N347:N352" si="526">6.45-3.5</f>
        <v>2.95</v>
      </c>
      <c r="O347" s="22">
        <v>0.1</v>
      </c>
      <c r="P347" s="23">
        <v>1</v>
      </c>
      <c r="Q347" s="3"/>
      <c r="R347" s="3">
        <f t="shared" ref="R347:R361" si="527">1.1*2.17</f>
        <v>2.387</v>
      </c>
      <c r="S347" s="3"/>
      <c r="T347" s="3"/>
      <c r="U347" s="3"/>
      <c r="V347" s="23"/>
      <c r="W347" s="3"/>
      <c r="X347" s="3"/>
      <c r="Y347" s="17"/>
      <c r="Z347" s="17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12">
        <f t="shared" si="420"/>
        <v>2.0675000000000003</v>
      </c>
      <c r="AL347" s="12">
        <f t="shared" si="421"/>
        <v>2.0675000000000003</v>
      </c>
      <c r="AM347" s="12">
        <f t="shared" si="422"/>
        <v>0.20675000000000004</v>
      </c>
      <c r="AN347" s="12">
        <f t="shared" si="423"/>
        <v>0.20675000000000004</v>
      </c>
      <c r="AO347" s="12" t="str">
        <f t="shared" si="424"/>
        <v/>
      </c>
      <c r="AP347" s="12">
        <f t="shared" si="425"/>
        <v>1.51</v>
      </c>
      <c r="AQ347" s="12" t="str">
        <f t="shared" si="426"/>
        <v/>
      </c>
      <c r="AR347" s="12" t="str">
        <f t="shared" si="427"/>
        <v/>
      </c>
      <c r="AS347" s="12" t="str">
        <f t="shared" si="428"/>
        <v/>
      </c>
      <c r="AT347" s="12" t="str">
        <f t="shared" si="429"/>
        <v/>
      </c>
      <c r="AU347" s="12" t="str">
        <f t="shared" si="430"/>
        <v/>
      </c>
      <c r="AV347" s="17"/>
      <c r="AX347" s="4"/>
    </row>
    <row r="348" spans="1:50" x14ac:dyDescent="0.25">
      <c r="A348" s="43" t="s">
        <v>276</v>
      </c>
      <c r="B348" s="52" t="s">
        <v>527</v>
      </c>
      <c r="C348" s="44"/>
      <c r="D348" s="43"/>
      <c r="E348" s="52" t="s">
        <v>528</v>
      </c>
      <c r="F348" s="46"/>
      <c r="G348" s="76" t="s">
        <v>759</v>
      </c>
      <c r="H348" s="48" t="s">
        <v>1093</v>
      </c>
      <c r="I348" s="48"/>
      <c r="J348" s="84" t="s">
        <v>1132</v>
      </c>
      <c r="K348" s="85"/>
      <c r="L348" s="47"/>
      <c r="M348" s="3">
        <v>1.51</v>
      </c>
      <c r="N348" s="3">
        <f t="shared" si="526"/>
        <v>2.95</v>
      </c>
      <c r="O348" s="22">
        <v>0.1</v>
      </c>
      <c r="P348" s="23">
        <v>1</v>
      </c>
      <c r="Q348" s="3"/>
      <c r="R348" s="3">
        <f t="shared" si="527"/>
        <v>2.387</v>
      </c>
      <c r="S348" s="3"/>
      <c r="T348" s="3"/>
      <c r="U348" s="3"/>
      <c r="V348" s="23"/>
      <c r="W348" s="3"/>
      <c r="X348" s="3"/>
      <c r="Y348" s="17"/>
      <c r="Z348" s="17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12">
        <f t="shared" si="420"/>
        <v>2.0675000000000003</v>
      </c>
      <c r="AL348" s="12">
        <f t="shared" si="421"/>
        <v>2.0675000000000003</v>
      </c>
      <c r="AM348" s="12">
        <f t="shared" si="422"/>
        <v>0.20675000000000004</v>
      </c>
      <c r="AN348" s="12">
        <f t="shared" si="423"/>
        <v>0.20675000000000004</v>
      </c>
      <c r="AO348" s="12" t="str">
        <f t="shared" si="424"/>
        <v/>
      </c>
      <c r="AP348" s="12">
        <f t="shared" si="425"/>
        <v>1.51</v>
      </c>
      <c r="AQ348" s="12" t="str">
        <f t="shared" si="426"/>
        <v/>
      </c>
      <c r="AR348" s="12" t="str">
        <f t="shared" si="427"/>
        <v/>
      </c>
      <c r="AS348" s="12" t="str">
        <f t="shared" si="428"/>
        <v/>
      </c>
      <c r="AT348" s="12" t="str">
        <f t="shared" si="429"/>
        <v/>
      </c>
      <c r="AU348" s="12" t="str">
        <f t="shared" si="430"/>
        <v/>
      </c>
      <c r="AV348" s="17"/>
      <c r="AX348" s="4"/>
    </row>
    <row r="349" spans="1:50" x14ac:dyDescent="0.25">
      <c r="A349" s="43" t="s">
        <v>276</v>
      </c>
      <c r="B349" s="52" t="s">
        <v>529</v>
      </c>
      <c r="C349" s="44"/>
      <c r="D349" s="43"/>
      <c r="E349" s="52" t="s">
        <v>530</v>
      </c>
      <c r="F349" s="46"/>
      <c r="G349" s="76" t="s">
        <v>760</v>
      </c>
      <c r="H349" s="48" t="s">
        <v>1093</v>
      </c>
      <c r="I349" s="48"/>
      <c r="J349" s="84" t="s">
        <v>1132</v>
      </c>
      <c r="K349" s="85"/>
      <c r="L349" s="47"/>
      <c r="M349" s="3">
        <v>1.51</v>
      </c>
      <c r="N349" s="3">
        <f t="shared" si="526"/>
        <v>2.95</v>
      </c>
      <c r="O349" s="22">
        <v>0.1</v>
      </c>
      <c r="P349" s="23">
        <v>1</v>
      </c>
      <c r="Q349" s="3"/>
      <c r="R349" s="3">
        <f t="shared" si="527"/>
        <v>2.387</v>
      </c>
      <c r="S349" s="3"/>
      <c r="T349" s="3"/>
      <c r="U349" s="3"/>
      <c r="V349" s="23"/>
      <c r="W349" s="3"/>
      <c r="X349" s="3"/>
      <c r="Y349" s="17"/>
      <c r="Z349" s="17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12">
        <f t="shared" si="420"/>
        <v>2.0675000000000003</v>
      </c>
      <c r="AL349" s="12">
        <f t="shared" si="421"/>
        <v>2.0675000000000003</v>
      </c>
      <c r="AM349" s="12">
        <f t="shared" si="422"/>
        <v>0.20675000000000004</v>
      </c>
      <c r="AN349" s="12">
        <f t="shared" si="423"/>
        <v>0.20675000000000004</v>
      </c>
      <c r="AO349" s="12" t="str">
        <f t="shared" si="424"/>
        <v/>
      </c>
      <c r="AP349" s="12">
        <f t="shared" si="425"/>
        <v>1.51</v>
      </c>
      <c r="AQ349" s="12" t="str">
        <f t="shared" si="426"/>
        <v/>
      </c>
      <c r="AR349" s="12" t="str">
        <f t="shared" si="427"/>
        <v/>
      </c>
      <c r="AS349" s="12" t="str">
        <f t="shared" si="428"/>
        <v/>
      </c>
      <c r="AT349" s="12" t="str">
        <f t="shared" si="429"/>
        <v/>
      </c>
      <c r="AU349" s="12" t="str">
        <f t="shared" si="430"/>
        <v/>
      </c>
      <c r="AV349" s="17"/>
      <c r="AX349" s="4"/>
    </row>
    <row r="350" spans="1:50" x14ac:dyDescent="0.25">
      <c r="A350" s="43" t="s">
        <v>276</v>
      </c>
      <c r="B350" s="52" t="s">
        <v>531</v>
      </c>
      <c r="C350" s="44"/>
      <c r="D350" s="43"/>
      <c r="E350" s="52" t="s">
        <v>532</v>
      </c>
      <c r="F350" s="46"/>
      <c r="G350" s="76" t="s">
        <v>761</v>
      </c>
      <c r="H350" s="48" t="s">
        <v>1093</v>
      </c>
      <c r="I350" s="48"/>
      <c r="J350" s="84" t="s">
        <v>1132</v>
      </c>
      <c r="K350" s="85"/>
      <c r="L350" s="47"/>
      <c r="M350" s="3">
        <v>1.51</v>
      </c>
      <c r="N350" s="3">
        <f t="shared" si="526"/>
        <v>2.95</v>
      </c>
      <c r="O350" s="22">
        <v>0.1</v>
      </c>
      <c r="P350" s="23">
        <v>1</v>
      </c>
      <c r="Q350" s="3"/>
      <c r="R350" s="3">
        <f t="shared" si="527"/>
        <v>2.387</v>
      </c>
      <c r="S350" s="3"/>
      <c r="T350" s="3"/>
      <c r="U350" s="3"/>
      <c r="V350" s="23"/>
      <c r="W350" s="3"/>
      <c r="X350" s="3"/>
      <c r="Y350" s="17"/>
      <c r="Z350" s="17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12">
        <f t="shared" si="420"/>
        <v>2.0675000000000003</v>
      </c>
      <c r="AL350" s="12">
        <f t="shared" si="421"/>
        <v>2.0675000000000003</v>
      </c>
      <c r="AM350" s="12">
        <f t="shared" si="422"/>
        <v>0.20675000000000004</v>
      </c>
      <c r="AN350" s="12">
        <f t="shared" si="423"/>
        <v>0.20675000000000004</v>
      </c>
      <c r="AO350" s="12" t="str">
        <f t="shared" si="424"/>
        <v/>
      </c>
      <c r="AP350" s="12">
        <f t="shared" si="425"/>
        <v>1.51</v>
      </c>
      <c r="AQ350" s="12" t="str">
        <f t="shared" si="426"/>
        <v/>
      </c>
      <c r="AR350" s="12" t="str">
        <f t="shared" si="427"/>
        <v/>
      </c>
      <c r="AS350" s="12" t="str">
        <f t="shared" si="428"/>
        <v/>
      </c>
      <c r="AT350" s="12" t="str">
        <f t="shared" si="429"/>
        <v/>
      </c>
      <c r="AU350" s="12" t="str">
        <f t="shared" si="430"/>
        <v/>
      </c>
      <c r="AV350" s="17"/>
      <c r="AX350" s="4"/>
    </row>
    <row r="351" spans="1:50" x14ac:dyDescent="0.25">
      <c r="A351" s="43" t="s">
        <v>276</v>
      </c>
      <c r="B351" s="52" t="s">
        <v>772</v>
      </c>
      <c r="C351" s="44"/>
      <c r="D351" s="43"/>
      <c r="E351" s="52" t="s">
        <v>717</v>
      </c>
      <c r="F351" s="46"/>
      <c r="G351" s="76" t="s">
        <v>762</v>
      </c>
      <c r="H351" s="48" t="s">
        <v>1093</v>
      </c>
      <c r="I351" s="48"/>
      <c r="J351" s="84" t="s">
        <v>1125</v>
      </c>
      <c r="K351" s="85"/>
      <c r="L351" s="47"/>
      <c r="M351" s="3">
        <v>2.4</v>
      </c>
      <c r="N351" s="3">
        <f t="shared" si="526"/>
        <v>2.95</v>
      </c>
      <c r="O351" s="22">
        <v>0.1</v>
      </c>
      <c r="P351" s="23">
        <v>1</v>
      </c>
      <c r="Q351" s="3"/>
      <c r="R351" s="3">
        <f>1.4*(2.5+0.05+0.15)</f>
        <v>3.7799999999999994</v>
      </c>
      <c r="S351" s="3"/>
      <c r="T351" s="3"/>
      <c r="U351" s="3"/>
      <c r="V351" s="23"/>
      <c r="W351" s="3"/>
      <c r="X351" s="3"/>
      <c r="Y351" s="17"/>
      <c r="Z351" s="17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12">
        <f t="shared" si="420"/>
        <v>3.3000000000000007</v>
      </c>
      <c r="AL351" s="12">
        <f t="shared" si="421"/>
        <v>3.3000000000000007</v>
      </c>
      <c r="AM351" s="12">
        <f t="shared" si="422"/>
        <v>0.33000000000000007</v>
      </c>
      <c r="AN351" s="12">
        <f t="shared" si="423"/>
        <v>0.33000000000000007</v>
      </c>
      <c r="AO351" s="12" t="str">
        <f t="shared" si="424"/>
        <v/>
      </c>
      <c r="AP351" s="12">
        <f t="shared" si="425"/>
        <v>2.4</v>
      </c>
      <c r="AQ351" s="12" t="str">
        <f t="shared" si="426"/>
        <v/>
      </c>
      <c r="AR351" s="12" t="str">
        <f t="shared" si="427"/>
        <v/>
      </c>
      <c r="AS351" s="12" t="str">
        <f t="shared" si="428"/>
        <v/>
      </c>
      <c r="AT351" s="12" t="str">
        <f t="shared" si="429"/>
        <v/>
      </c>
      <c r="AU351" s="12" t="str">
        <f t="shared" si="430"/>
        <v/>
      </c>
      <c r="AV351" s="17"/>
      <c r="AX351" s="4"/>
    </row>
    <row r="352" spans="1:50" x14ac:dyDescent="0.25">
      <c r="A352" s="43" t="s">
        <v>276</v>
      </c>
      <c r="B352" s="52" t="s">
        <v>620</v>
      </c>
      <c r="C352" s="44"/>
      <c r="D352" s="43"/>
      <c r="E352" s="52" t="s">
        <v>621</v>
      </c>
      <c r="F352" s="46"/>
      <c r="G352" s="76" t="s">
        <v>763</v>
      </c>
      <c r="H352" s="48" t="s">
        <v>1093</v>
      </c>
      <c r="I352" s="48"/>
      <c r="J352" s="84" t="s">
        <v>1132</v>
      </c>
      <c r="K352" s="85"/>
      <c r="L352" s="47"/>
      <c r="M352" s="3">
        <v>1.51</v>
      </c>
      <c r="N352" s="3">
        <f t="shared" si="526"/>
        <v>2.95</v>
      </c>
      <c r="O352" s="22">
        <v>0.1</v>
      </c>
      <c r="P352" s="23">
        <v>1</v>
      </c>
      <c r="Q352" s="3"/>
      <c r="R352" s="3">
        <f t="shared" si="527"/>
        <v>2.387</v>
      </c>
      <c r="S352" s="3"/>
      <c r="T352" s="3"/>
      <c r="U352" s="3"/>
      <c r="V352" s="23"/>
      <c r="W352" s="3"/>
      <c r="X352" s="3"/>
      <c r="Y352" s="17"/>
      <c r="Z352" s="17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12">
        <f t="shared" si="420"/>
        <v>2.0675000000000003</v>
      </c>
      <c r="AL352" s="12">
        <f t="shared" si="421"/>
        <v>2.0675000000000003</v>
      </c>
      <c r="AM352" s="12">
        <f t="shared" si="422"/>
        <v>0.20675000000000004</v>
      </c>
      <c r="AN352" s="12">
        <f t="shared" si="423"/>
        <v>0.20675000000000004</v>
      </c>
      <c r="AO352" s="12" t="str">
        <f t="shared" si="424"/>
        <v/>
      </c>
      <c r="AP352" s="12">
        <f t="shared" si="425"/>
        <v>1.51</v>
      </c>
      <c r="AQ352" s="12" t="str">
        <f t="shared" si="426"/>
        <v/>
      </c>
      <c r="AR352" s="12" t="str">
        <f t="shared" si="427"/>
        <v/>
      </c>
      <c r="AS352" s="12" t="str">
        <f t="shared" si="428"/>
        <v/>
      </c>
      <c r="AT352" s="12" t="str">
        <f t="shared" si="429"/>
        <v/>
      </c>
      <c r="AU352" s="12" t="str">
        <f t="shared" si="430"/>
        <v/>
      </c>
      <c r="AV352" s="17"/>
      <c r="AX352" s="4"/>
    </row>
    <row r="353" spans="1:50" x14ac:dyDescent="0.25">
      <c r="A353" s="43" t="s">
        <v>276</v>
      </c>
      <c r="B353" s="52" t="s">
        <v>623</v>
      </c>
      <c r="C353" s="44"/>
      <c r="D353" s="43"/>
      <c r="E353" s="52" t="s">
        <v>624</v>
      </c>
      <c r="F353" s="46"/>
      <c r="G353" s="76" t="s">
        <v>764</v>
      </c>
      <c r="H353" s="48" t="s">
        <v>1093</v>
      </c>
      <c r="I353" s="48"/>
      <c r="J353" s="84" t="s">
        <v>1132</v>
      </c>
      <c r="K353" s="85"/>
      <c r="L353" s="47"/>
      <c r="M353" s="3">
        <v>1.51</v>
      </c>
      <c r="N353" s="3">
        <f>6.45-3.55</f>
        <v>2.9000000000000004</v>
      </c>
      <c r="O353" s="22">
        <v>0.1</v>
      </c>
      <c r="P353" s="23">
        <v>1</v>
      </c>
      <c r="Q353" s="3"/>
      <c r="R353" s="3">
        <f t="shared" si="527"/>
        <v>2.387</v>
      </c>
      <c r="S353" s="3"/>
      <c r="T353" s="3"/>
      <c r="U353" s="3"/>
      <c r="V353" s="23"/>
      <c r="W353" s="3"/>
      <c r="X353" s="3"/>
      <c r="Y353" s="17"/>
      <c r="Z353" s="17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12">
        <f t="shared" si="420"/>
        <v>1.9920000000000004</v>
      </c>
      <c r="AL353" s="12">
        <f t="shared" si="421"/>
        <v>1.9920000000000004</v>
      </c>
      <c r="AM353" s="12">
        <f t="shared" si="422"/>
        <v>0.19920000000000004</v>
      </c>
      <c r="AN353" s="12">
        <f t="shared" si="423"/>
        <v>0.19920000000000004</v>
      </c>
      <c r="AO353" s="12" t="str">
        <f t="shared" si="424"/>
        <v/>
      </c>
      <c r="AP353" s="12">
        <f t="shared" si="425"/>
        <v>1.51</v>
      </c>
      <c r="AQ353" s="12" t="str">
        <f t="shared" si="426"/>
        <v/>
      </c>
      <c r="AR353" s="12" t="str">
        <f t="shared" si="427"/>
        <v/>
      </c>
      <c r="AS353" s="12" t="str">
        <f t="shared" si="428"/>
        <v/>
      </c>
      <c r="AT353" s="12" t="str">
        <f t="shared" si="429"/>
        <v/>
      </c>
      <c r="AU353" s="12" t="str">
        <f t="shared" si="430"/>
        <v/>
      </c>
      <c r="AV353" s="17"/>
      <c r="AX353" s="4"/>
    </row>
    <row r="354" spans="1:50" x14ac:dyDescent="0.25">
      <c r="A354" s="43" t="s">
        <v>276</v>
      </c>
      <c r="B354" s="52" t="s">
        <v>518</v>
      </c>
      <c r="C354" s="44"/>
      <c r="D354" s="43"/>
      <c r="E354" s="52"/>
      <c r="F354" s="46"/>
      <c r="G354" s="76" t="s">
        <v>1148</v>
      </c>
      <c r="H354" s="48" t="s">
        <v>1104</v>
      </c>
      <c r="I354" s="48"/>
      <c r="J354" s="84" t="s">
        <v>1132</v>
      </c>
      <c r="K354" s="85"/>
      <c r="L354" s="47"/>
      <c r="M354" s="3">
        <v>1.155</v>
      </c>
      <c r="N354" s="3">
        <f>6.45-3.55</f>
        <v>2.9000000000000004</v>
      </c>
      <c r="O354" s="22">
        <v>0.155</v>
      </c>
      <c r="P354" s="23">
        <v>7</v>
      </c>
      <c r="Q354" s="3"/>
      <c r="R354" s="3"/>
      <c r="S354" s="3"/>
      <c r="T354" s="3"/>
      <c r="U354" s="3"/>
      <c r="V354" s="23"/>
      <c r="W354" s="3"/>
      <c r="X354" s="3"/>
      <c r="Y354" s="17"/>
      <c r="Z354" s="17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12">
        <f t="shared" ref="AK354" si="528">IF(((M354*N354)-Q354-R354-S354+T354+U354)=0,"",((M354*N354)-Q354-R354-S354+T354+U354))</f>
        <v>3.3495000000000004</v>
      </c>
      <c r="AL354" s="12">
        <f t="shared" ref="AL354" si="529">IF(PRODUCT(P354,AK354)=0,"",P354*AK354)</f>
        <v>23.446500000000004</v>
      </c>
      <c r="AM354" s="12">
        <f t="shared" ref="AM354" si="530">IF(PRODUCT(AK354,O354)=0,"",AK354*O354)</f>
        <v>0.51917250000000004</v>
      </c>
      <c r="AN354" s="12">
        <f t="shared" ref="AN354" si="531">IF(PRODUCT(AM354,P354)=0,"",AM354*P354)</f>
        <v>3.6342075000000005</v>
      </c>
      <c r="AO354" s="12" t="str">
        <f t="shared" ref="AO354" si="532">IF(N354*V354-W354+X354=0,"",N354*V354-W354+X354)</f>
        <v/>
      </c>
      <c r="AP354" s="12">
        <f t="shared" ref="AP354" si="533">IF(PRODUCT(M354,P354)=0,"",M354*P354)</f>
        <v>8.0850000000000009</v>
      </c>
      <c r="AQ354" s="12" t="str">
        <f t="shared" ref="AQ354" si="534">IF(AA354+AB354=0,"",AA354+AB354)</f>
        <v/>
      </c>
      <c r="AR354" s="12" t="str">
        <f t="shared" ref="AR354" si="535">IF(AC354+AD354=0,"",AC354+AD354)</f>
        <v/>
      </c>
      <c r="AS354" s="12" t="str">
        <f t="shared" ref="AS354" si="536">IF((AE354*AH354*AI354)*P354=0,"",(AE354*AH354*AI354)*P354)</f>
        <v/>
      </c>
      <c r="AT354" s="12" t="str">
        <f t="shared" ref="AT354" si="537">IF(AJ354*P354=0,"",AJ354*P354)</f>
        <v/>
      </c>
      <c r="AU354" s="12" t="str">
        <f t="shared" ref="AU354" si="538">IF(OR(H354="s1",H354="s2",H354="s3",H354="s4",H354="s4*",H354="s5",H354="s12",H354="s16"),IF(M354&gt;=4,M354,""),"")</f>
        <v/>
      </c>
      <c r="AV354" s="17"/>
      <c r="AX354" s="4"/>
    </row>
    <row r="355" spans="1:50" x14ac:dyDescent="0.25">
      <c r="A355" s="43" t="s">
        <v>276</v>
      </c>
      <c r="B355" s="52" t="s">
        <v>540</v>
      </c>
      <c r="C355" s="44"/>
      <c r="D355" s="43"/>
      <c r="E355" s="52" t="s">
        <v>771</v>
      </c>
      <c r="F355" s="46"/>
      <c r="G355" s="76" t="s">
        <v>765</v>
      </c>
      <c r="H355" s="48" t="s">
        <v>1093</v>
      </c>
      <c r="I355" s="48"/>
      <c r="J355" s="84" t="s">
        <v>1132</v>
      </c>
      <c r="K355" s="85"/>
      <c r="L355" s="47"/>
      <c r="M355" s="3">
        <v>1.51</v>
      </c>
      <c r="N355" s="3">
        <f t="shared" ref="N355:N363" si="539">6.45-3.55</f>
        <v>2.9000000000000004</v>
      </c>
      <c r="O355" s="22">
        <v>0.1</v>
      </c>
      <c r="P355" s="23">
        <v>1</v>
      </c>
      <c r="Q355" s="3"/>
      <c r="R355" s="3">
        <f t="shared" si="527"/>
        <v>2.387</v>
      </c>
      <c r="S355" s="3"/>
      <c r="T355" s="3"/>
      <c r="U355" s="3"/>
      <c r="V355" s="23"/>
      <c r="W355" s="3"/>
      <c r="X355" s="3"/>
      <c r="Y355" s="17"/>
      <c r="Z355" s="17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12">
        <f t="shared" si="420"/>
        <v>1.9920000000000004</v>
      </c>
      <c r="AL355" s="12">
        <f t="shared" si="421"/>
        <v>1.9920000000000004</v>
      </c>
      <c r="AM355" s="12">
        <f t="shared" si="422"/>
        <v>0.19920000000000004</v>
      </c>
      <c r="AN355" s="12">
        <f t="shared" si="423"/>
        <v>0.19920000000000004</v>
      </c>
      <c r="AO355" s="12" t="str">
        <f t="shared" si="424"/>
        <v/>
      </c>
      <c r="AP355" s="12">
        <f t="shared" si="425"/>
        <v>1.51</v>
      </c>
      <c r="AQ355" s="12" t="str">
        <f t="shared" si="426"/>
        <v/>
      </c>
      <c r="AR355" s="12" t="str">
        <f t="shared" si="427"/>
        <v/>
      </c>
      <c r="AS355" s="12" t="str">
        <f t="shared" si="428"/>
        <v/>
      </c>
      <c r="AT355" s="12" t="str">
        <f t="shared" si="429"/>
        <v/>
      </c>
      <c r="AU355" s="12" t="str">
        <f t="shared" si="430"/>
        <v/>
      </c>
      <c r="AV355" s="17"/>
      <c r="AX355" s="4"/>
    </row>
    <row r="356" spans="1:50" x14ac:dyDescent="0.25">
      <c r="A356" s="43" t="s">
        <v>276</v>
      </c>
      <c r="B356" s="52" t="s">
        <v>534</v>
      </c>
      <c r="C356" s="44"/>
      <c r="D356" s="43"/>
      <c r="E356" s="52" t="s">
        <v>533</v>
      </c>
      <c r="F356" s="46"/>
      <c r="G356" s="76" t="s">
        <v>766</v>
      </c>
      <c r="H356" s="48" t="s">
        <v>1093</v>
      </c>
      <c r="I356" s="48"/>
      <c r="J356" s="84" t="s">
        <v>1132</v>
      </c>
      <c r="K356" s="85"/>
      <c r="L356" s="47"/>
      <c r="M356" s="3">
        <v>1.51</v>
      </c>
      <c r="N356" s="3">
        <f t="shared" si="539"/>
        <v>2.9000000000000004</v>
      </c>
      <c r="O356" s="22">
        <v>0.1</v>
      </c>
      <c r="P356" s="23">
        <v>1</v>
      </c>
      <c r="Q356" s="3"/>
      <c r="R356" s="3">
        <f t="shared" si="527"/>
        <v>2.387</v>
      </c>
      <c r="S356" s="3"/>
      <c r="T356" s="3"/>
      <c r="U356" s="3"/>
      <c r="V356" s="23"/>
      <c r="W356" s="3"/>
      <c r="X356" s="3"/>
      <c r="Y356" s="17"/>
      <c r="Z356" s="17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12">
        <f t="shared" si="420"/>
        <v>1.9920000000000004</v>
      </c>
      <c r="AL356" s="12">
        <f t="shared" si="421"/>
        <v>1.9920000000000004</v>
      </c>
      <c r="AM356" s="12">
        <f t="shared" si="422"/>
        <v>0.19920000000000004</v>
      </c>
      <c r="AN356" s="12">
        <f t="shared" si="423"/>
        <v>0.19920000000000004</v>
      </c>
      <c r="AO356" s="12" t="str">
        <f t="shared" si="424"/>
        <v/>
      </c>
      <c r="AP356" s="12">
        <f t="shared" si="425"/>
        <v>1.51</v>
      </c>
      <c r="AQ356" s="12" t="str">
        <f t="shared" si="426"/>
        <v/>
      </c>
      <c r="AR356" s="12" t="str">
        <f t="shared" si="427"/>
        <v/>
      </c>
      <c r="AS356" s="12" t="str">
        <f t="shared" si="428"/>
        <v/>
      </c>
      <c r="AT356" s="12" t="str">
        <f t="shared" si="429"/>
        <v/>
      </c>
      <c r="AU356" s="12" t="str">
        <f t="shared" si="430"/>
        <v/>
      </c>
      <c r="AV356" s="17"/>
      <c r="AX356" s="4"/>
    </row>
    <row r="357" spans="1:50" x14ac:dyDescent="0.25">
      <c r="A357" s="43" t="s">
        <v>276</v>
      </c>
      <c r="B357" s="52" t="s">
        <v>537</v>
      </c>
      <c r="C357" s="44"/>
      <c r="D357" s="43"/>
      <c r="E357" s="52" t="s">
        <v>676</v>
      </c>
      <c r="F357" s="46"/>
      <c r="G357" s="76" t="s">
        <v>767</v>
      </c>
      <c r="H357" s="48" t="s">
        <v>1093</v>
      </c>
      <c r="I357" s="48"/>
      <c r="J357" s="84" t="s">
        <v>1132</v>
      </c>
      <c r="K357" s="85"/>
      <c r="L357" s="47"/>
      <c r="M357" s="3">
        <v>1.51</v>
      </c>
      <c r="N357" s="3">
        <f t="shared" si="539"/>
        <v>2.9000000000000004</v>
      </c>
      <c r="O357" s="22">
        <v>0.1</v>
      </c>
      <c r="P357" s="23">
        <v>1</v>
      </c>
      <c r="Q357" s="3"/>
      <c r="R357" s="3">
        <f t="shared" si="527"/>
        <v>2.387</v>
      </c>
      <c r="S357" s="3"/>
      <c r="T357" s="3"/>
      <c r="U357" s="3"/>
      <c r="V357" s="23"/>
      <c r="W357" s="3"/>
      <c r="X357" s="3"/>
      <c r="Y357" s="17"/>
      <c r="Z357" s="17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12">
        <f t="shared" si="420"/>
        <v>1.9920000000000004</v>
      </c>
      <c r="AL357" s="12">
        <f t="shared" si="421"/>
        <v>1.9920000000000004</v>
      </c>
      <c r="AM357" s="12">
        <f t="shared" si="422"/>
        <v>0.19920000000000004</v>
      </c>
      <c r="AN357" s="12">
        <f t="shared" si="423"/>
        <v>0.19920000000000004</v>
      </c>
      <c r="AO357" s="12" t="str">
        <f t="shared" si="424"/>
        <v/>
      </c>
      <c r="AP357" s="12">
        <f t="shared" si="425"/>
        <v>1.51</v>
      </c>
      <c r="AQ357" s="12" t="str">
        <f t="shared" si="426"/>
        <v/>
      </c>
      <c r="AR357" s="12" t="str">
        <f t="shared" si="427"/>
        <v/>
      </c>
      <c r="AS357" s="12" t="str">
        <f t="shared" si="428"/>
        <v/>
      </c>
      <c r="AT357" s="12" t="str">
        <f t="shared" si="429"/>
        <v/>
      </c>
      <c r="AU357" s="12" t="str">
        <f t="shared" si="430"/>
        <v/>
      </c>
      <c r="AV357" s="17"/>
      <c r="AX357" s="4"/>
    </row>
    <row r="358" spans="1:50" x14ac:dyDescent="0.25">
      <c r="A358" s="43" t="s">
        <v>276</v>
      </c>
      <c r="B358" s="52" t="s">
        <v>674</v>
      </c>
      <c r="C358" s="44"/>
      <c r="D358" s="43"/>
      <c r="E358" s="52" t="s">
        <v>673</v>
      </c>
      <c r="F358" s="46"/>
      <c r="G358" s="76" t="s">
        <v>768</v>
      </c>
      <c r="H358" s="48" t="s">
        <v>1093</v>
      </c>
      <c r="I358" s="48"/>
      <c r="J358" s="84" t="s">
        <v>1132</v>
      </c>
      <c r="K358" s="85"/>
      <c r="L358" s="47"/>
      <c r="M358" s="3">
        <v>1.51</v>
      </c>
      <c r="N358" s="3">
        <f t="shared" si="539"/>
        <v>2.9000000000000004</v>
      </c>
      <c r="O358" s="22">
        <v>0.1</v>
      </c>
      <c r="P358" s="23">
        <v>1</v>
      </c>
      <c r="Q358" s="3"/>
      <c r="R358" s="3">
        <f t="shared" si="527"/>
        <v>2.387</v>
      </c>
      <c r="S358" s="3"/>
      <c r="T358" s="3"/>
      <c r="U358" s="3"/>
      <c r="V358" s="23"/>
      <c r="W358" s="3"/>
      <c r="X358" s="3"/>
      <c r="Y358" s="17"/>
      <c r="Z358" s="17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12">
        <f t="shared" si="420"/>
        <v>1.9920000000000004</v>
      </c>
      <c r="AL358" s="12">
        <f t="shared" si="421"/>
        <v>1.9920000000000004</v>
      </c>
      <c r="AM358" s="12">
        <f t="shared" si="422"/>
        <v>0.19920000000000004</v>
      </c>
      <c r="AN358" s="12">
        <f t="shared" si="423"/>
        <v>0.19920000000000004</v>
      </c>
      <c r="AO358" s="12" t="str">
        <f t="shared" si="424"/>
        <v/>
      </c>
      <c r="AP358" s="12">
        <f t="shared" si="425"/>
        <v>1.51</v>
      </c>
      <c r="AQ358" s="12" t="str">
        <f t="shared" si="426"/>
        <v/>
      </c>
      <c r="AR358" s="12" t="str">
        <f t="shared" si="427"/>
        <v/>
      </c>
      <c r="AS358" s="12" t="str">
        <f t="shared" si="428"/>
        <v/>
      </c>
      <c r="AT358" s="12" t="str">
        <f t="shared" si="429"/>
        <v/>
      </c>
      <c r="AU358" s="12" t="str">
        <f t="shared" si="430"/>
        <v/>
      </c>
      <c r="AV358" s="17"/>
      <c r="AX358" s="4"/>
    </row>
    <row r="359" spans="1:50" x14ac:dyDescent="0.25">
      <c r="A359" s="43" t="s">
        <v>276</v>
      </c>
      <c r="B359" s="52" t="s">
        <v>639</v>
      </c>
      <c r="C359" s="44"/>
      <c r="D359" s="43"/>
      <c r="E359" s="52" t="s">
        <v>656</v>
      </c>
      <c r="F359" s="46"/>
      <c r="G359" s="76" t="s">
        <v>769</v>
      </c>
      <c r="H359" s="48" t="s">
        <v>1093</v>
      </c>
      <c r="I359" s="48"/>
      <c r="J359" s="84" t="s">
        <v>1132</v>
      </c>
      <c r="K359" s="85"/>
      <c r="L359" s="47"/>
      <c r="M359" s="3">
        <v>1.51</v>
      </c>
      <c r="N359" s="3">
        <f t="shared" si="539"/>
        <v>2.9000000000000004</v>
      </c>
      <c r="O359" s="22">
        <v>0.1</v>
      </c>
      <c r="P359" s="23">
        <v>1</v>
      </c>
      <c r="Q359" s="3"/>
      <c r="R359" s="3">
        <f t="shared" si="527"/>
        <v>2.387</v>
      </c>
      <c r="S359" s="3"/>
      <c r="T359" s="3"/>
      <c r="U359" s="3"/>
      <c r="V359" s="23"/>
      <c r="W359" s="3"/>
      <c r="X359" s="3"/>
      <c r="Y359" s="17"/>
      <c r="Z359" s="17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12">
        <f t="shared" si="420"/>
        <v>1.9920000000000004</v>
      </c>
      <c r="AL359" s="12">
        <f t="shared" si="421"/>
        <v>1.9920000000000004</v>
      </c>
      <c r="AM359" s="12">
        <f t="shared" si="422"/>
        <v>0.19920000000000004</v>
      </c>
      <c r="AN359" s="12">
        <f t="shared" si="423"/>
        <v>0.19920000000000004</v>
      </c>
      <c r="AO359" s="12" t="str">
        <f t="shared" si="424"/>
        <v/>
      </c>
      <c r="AP359" s="12">
        <f t="shared" si="425"/>
        <v>1.51</v>
      </c>
      <c r="AQ359" s="12" t="str">
        <f t="shared" si="426"/>
        <v/>
      </c>
      <c r="AR359" s="12" t="str">
        <f t="shared" si="427"/>
        <v/>
      </c>
      <c r="AS359" s="12" t="str">
        <f t="shared" si="428"/>
        <v/>
      </c>
      <c r="AT359" s="12" t="str">
        <f t="shared" si="429"/>
        <v/>
      </c>
      <c r="AU359" s="12" t="str">
        <f t="shared" si="430"/>
        <v/>
      </c>
      <c r="AV359" s="17"/>
      <c r="AX359" s="4"/>
    </row>
    <row r="360" spans="1:50" x14ac:dyDescent="0.25">
      <c r="A360" s="43" t="s">
        <v>276</v>
      </c>
      <c r="B360" s="52" t="s">
        <v>652</v>
      </c>
      <c r="C360" s="44"/>
      <c r="D360" s="43"/>
      <c r="E360" s="52" t="s">
        <v>650</v>
      </c>
      <c r="F360" s="46"/>
      <c r="G360" s="76" t="s">
        <v>770</v>
      </c>
      <c r="H360" s="48" t="s">
        <v>1093</v>
      </c>
      <c r="I360" s="48"/>
      <c r="J360" s="84" t="s">
        <v>1132</v>
      </c>
      <c r="K360" s="85"/>
      <c r="L360" s="47"/>
      <c r="M360" s="3">
        <v>1.51</v>
      </c>
      <c r="N360" s="3">
        <f t="shared" si="539"/>
        <v>2.9000000000000004</v>
      </c>
      <c r="O360" s="22">
        <v>0.1</v>
      </c>
      <c r="P360" s="23">
        <v>1</v>
      </c>
      <c r="Q360" s="3"/>
      <c r="R360" s="3">
        <f t="shared" si="527"/>
        <v>2.387</v>
      </c>
      <c r="S360" s="3"/>
      <c r="T360" s="3"/>
      <c r="U360" s="3"/>
      <c r="V360" s="23"/>
      <c r="W360" s="3"/>
      <c r="X360" s="3"/>
      <c r="Y360" s="17"/>
      <c r="Z360" s="17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12">
        <f t="shared" si="420"/>
        <v>1.9920000000000004</v>
      </c>
      <c r="AL360" s="12">
        <f t="shared" si="421"/>
        <v>1.9920000000000004</v>
      </c>
      <c r="AM360" s="12">
        <f t="shared" si="422"/>
        <v>0.19920000000000004</v>
      </c>
      <c r="AN360" s="12">
        <f t="shared" si="423"/>
        <v>0.19920000000000004</v>
      </c>
      <c r="AO360" s="12" t="str">
        <f t="shared" si="424"/>
        <v/>
      </c>
      <c r="AP360" s="12">
        <f t="shared" si="425"/>
        <v>1.51</v>
      </c>
      <c r="AQ360" s="12" t="str">
        <f t="shared" si="426"/>
        <v/>
      </c>
      <c r="AR360" s="12" t="str">
        <f t="shared" si="427"/>
        <v/>
      </c>
      <c r="AS360" s="12" t="str">
        <f t="shared" si="428"/>
        <v/>
      </c>
      <c r="AT360" s="12" t="str">
        <f t="shared" si="429"/>
        <v/>
      </c>
      <c r="AU360" s="12" t="str">
        <f t="shared" si="430"/>
        <v/>
      </c>
      <c r="AV360" s="17"/>
      <c r="AX360" s="4"/>
    </row>
    <row r="361" spans="1:50" x14ac:dyDescent="0.25">
      <c r="A361" s="43" t="s">
        <v>276</v>
      </c>
      <c r="B361" s="52" t="s">
        <v>651</v>
      </c>
      <c r="C361" s="44"/>
      <c r="D361" s="43"/>
      <c r="E361" s="52" t="s">
        <v>653</v>
      </c>
      <c r="F361" s="46"/>
      <c r="G361" s="76" t="s">
        <v>775</v>
      </c>
      <c r="H361" s="48" t="s">
        <v>1097</v>
      </c>
      <c r="I361" s="48"/>
      <c r="J361" s="84" t="s">
        <v>1132</v>
      </c>
      <c r="K361" s="85"/>
      <c r="L361" s="47"/>
      <c r="M361" s="3">
        <v>1.2</v>
      </c>
      <c r="N361" s="3">
        <f t="shared" si="539"/>
        <v>2.9000000000000004</v>
      </c>
      <c r="O361" s="22">
        <v>0.155</v>
      </c>
      <c r="P361" s="23">
        <v>1</v>
      </c>
      <c r="Q361" s="3"/>
      <c r="R361" s="3">
        <f t="shared" si="527"/>
        <v>2.387</v>
      </c>
      <c r="S361" s="3"/>
      <c r="T361" s="3"/>
      <c r="U361" s="3"/>
      <c r="V361" s="23"/>
      <c r="W361" s="3"/>
      <c r="X361" s="3"/>
      <c r="Y361" s="17"/>
      <c r="Z361" s="17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12">
        <f t="shared" si="420"/>
        <v>1.0930000000000004</v>
      </c>
      <c r="AL361" s="12">
        <f t="shared" si="421"/>
        <v>1.0930000000000004</v>
      </c>
      <c r="AM361" s="12">
        <f t="shared" si="422"/>
        <v>0.16941500000000007</v>
      </c>
      <c r="AN361" s="12">
        <f t="shared" si="423"/>
        <v>0.16941500000000007</v>
      </c>
      <c r="AO361" s="12" t="str">
        <f t="shared" si="424"/>
        <v/>
      </c>
      <c r="AP361" s="12">
        <f t="shared" si="425"/>
        <v>1.2</v>
      </c>
      <c r="AQ361" s="12" t="str">
        <f t="shared" si="426"/>
        <v/>
      </c>
      <c r="AR361" s="12" t="str">
        <f t="shared" si="427"/>
        <v/>
      </c>
      <c r="AS361" s="12" t="str">
        <f t="shared" si="428"/>
        <v/>
      </c>
      <c r="AT361" s="12" t="str">
        <f t="shared" si="429"/>
        <v/>
      </c>
      <c r="AU361" s="12" t="str">
        <f t="shared" si="430"/>
        <v/>
      </c>
      <c r="AV361" s="17"/>
      <c r="AX361" s="4"/>
    </row>
    <row r="362" spans="1:50" x14ac:dyDescent="0.25">
      <c r="A362" s="43" t="s">
        <v>276</v>
      </c>
      <c r="B362" s="52" t="s">
        <v>518</v>
      </c>
      <c r="C362" s="44"/>
      <c r="D362" s="43"/>
      <c r="E362" s="52"/>
      <c r="F362" s="46"/>
      <c r="G362" s="76" t="s">
        <v>1149</v>
      </c>
      <c r="H362" s="48" t="s">
        <v>1104</v>
      </c>
      <c r="I362" s="48"/>
      <c r="J362" s="84" t="s">
        <v>1132</v>
      </c>
      <c r="K362" s="85"/>
      <c r="L362" s="47"/>
      <c r="M362" s="3">
        <v>1.155</v>
      </c>
      <c r="N362" s="3">
        <f t="shared" si="539"/>
        <v>2.9000000000000004</v>
      </c>
      <c r="O362" s="22">
        <v>0.155</v>
      </c>
      <c r="P362" s="23">
        <v>2</v>
      </c>
      <c r="Q362" s="3"/>
      <c r="R362" s="3"/>
      <c r="S362" s="3"/>
      <c r="T362" s="3"/>
      <c r="U362" s="3"/>
      <c r="V362" s="23"/>
      <c r="W362" s="3"/>
      <c r="X362" s="3"/>
      <c r="Y362" s="17"/>
      <c r="Z362" s="17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12">
        <f t="shared" ref="AK362" si="540">IF(((M362*N362)-Q362-R362-S362+T362+U362)=0,"",((M362*N362)-Q362-R362-S362+T362+U362))</f>
        <v>3.3495000000000004</v>
      </c>
      <c r="AL362" s="12">
        <f t="shared" ref="AL362" si="541">IF(PRODUCT(P362,AK362)=0,"",P362*AK362)</f>
        <v>6.6990000000000007</v>
      </c>
      <c r="AM362" s="12">
        <f t="shared" ref="AM362" si="542">IF(PRODUCT(AK362,O362)=0,"",AK362*O362)</f>
        <v>0.51917250000000004</v>
      </c>
      <c r="AN362" s="12">
        <f t="shared" ref="AN362" si="543">IF(PRODUCT(AM362,P362)=0,"",AM362*P362)</f>
        <v>1.0383450000000001</v>
      </c>
      <c r="AO362" s="12" t="str">
        <f t="shared" ref="AO362" si="544">IF(N362*V362-W362+X362=0,"",N362*V362-W362+X362)</f>
        <v/>
      </c>
      <c r="AP362" s="12">
        <f t="shared" ref="AP362" si="545">IF(PRODUCT(M362,P362)=0,"",M362*P362)</f>
        <v>2.31</v>
      </c>
      <c r="AQ362" s="12" t="str">
        <f t="shared" ref="AQ362" si="546">IF(AA362+AB362=0,"",AA362+AB362)</f>
        <v/>
      </c>
      <c r="AR362" s="12" t="str">
        <f t="shared" ref="AR362" si="547">IF(AC362+AD362=0,"",AC362+AD362)</f>
        <v/>
      </c>
      <c r="AS362" s="12" t="str">
        <f t="shared" ref="AS362" si="548">IF((AE362*AH362*AI362)*P362=0,"",(AE362*AH362*AI362)*P362)</f>
        <v/>
      </c>
      <c r="AT362" s="12" t="str">
        <f t="shared" ref="AT362" si="549">IF(AJ362*P362=0,"",AJ362*P362)</f>
        <v/>
      </c>
      <c r="AU362" s="12" t="str">
        <f t="shared" ref="AU362" si="550">IF(OR(H362="s1",H362="s2",H362="s3",H362="s4",H362="s4*",H362="s5",H362="s12",H362="s16"),IF(M362&gt;=4,M362,""),"")</f>
        <v/>
      </c>
      <c r="AV362" s="17"/>
      <c r="AX362" s="4"/>
    </row>
    <row r="363" spans="1:50" x14ac:dyDescent="0.25">
      <c r="A363" s="43" t="s">
        <v>276</v>
      </c>
      <c r="B363" s="52" t="s">
        <v>654</v>
      </c>
      <c r="C363" s="44"/>
      <c r="D363" s="43"/>
      <c r="E363" s="52" t="s">
        <v>645</v>
      </c>
      <c r="F363" s="46"/>
      <c r="G363" s="76" t="s">
        <v>776</v>
      </c>
      <c r="H363" s="48" t="s">
        <v>1093</v>
      </c>
      <c r="I363" s="48"/>
      <c r="J363" s="84" t="s">
        <v>1132</v>
      </c>
      <c r="K363" s="85"/>
      <c r="L363" s="47"/>
      <c r="M363" s="3">
        <v>1.2</v>
      </c>
      <c r="N363" s="3">
        <f t="shared" si="539"/>
        <v>2.9000000000000004</v>
      </c>
      <c r="O363" s="22">
        <v>0.1</v>
      </c>
      <c r="P363" s="23">
        <v>1</v>
      </c>
      <c r="Q363" s="3"/>
      <c r="R363" s="3"/>
      <c r="S363" s="3"/>
      <c r="T363" s="3"/>
      <c r="U363" s="3"/>
      <c r="V363" s="23"/>
      <c r="W363" s="3"/>
      <c r="X363" s="3"/>
      <c r="Y363" s="17"/>
      <c r="Z363" s="17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12">
        <f t="shared" ref="AK363:AK455" si="551">IF(((M363*N363)-Q363-R363-S363+T363+U363)=0,"",((M363*N363)-Q363-R363-S363+T363+U363))</f>
        <v>3.4800000000000004</v>
      </c>
      <c r="AL363" s="12">
        <f t="shared" ref="AL363:AL455" si="552">IF(PRODUCT(P363,AK363)=0,"",P363*AK363)</f>
        <v>3.4800000000000004</v>
      </c>
      <c r="AM363" s="12">
        <f t="shared" ref="AM363:AM455" si="553">IF(PRODUCT(AK363,O363)=0,"",AK363*O363)</f>
        <v>0.34800000000000009</v>
      </c>
      <c r="AN363" s="12">
        <f t="shared" ref="AN363:AN455" si="554">IF(PRODUCT(AM363,P363)=0,"",AM363*P363)</f>
        <v>0.34800000000000009</v>
      </c>
      <c r="AO363" s="12" t="str">
        <f t="shared" ref="AO363:AO455" si="555">IF(N363*V363-W363+X363=0,"",N363*V363-W363+X363)</f>
        <v/>
      </c>
      <c r="AP363" s="12">
        <f t="shared" ref="AP363:AP455" si="556">IF(PRODUCT(M363,P363)=0,"",M363*P363)</f>
        <v>1.2</v>
      </c>
      <c r="AQ363" s="12" t="str">
        <f t="shared" ref="AQ363:AQ455" si="557">IF(AA363+AB363=0,"",AA363+AB363)</f>
        <v/>
      </c>
      <c r="AR363" s="12" t="str">
        <f t="shared" ref="AR363:AR455" si="558">IF(AC363+AD363=0,"",AC363+AD363)</f>
        <v/>
      </c>
      <c r="AS363" s="12" t="str">
        <f t="shared" ref="AS363:AS455" si="559">IF((AE363*AH363*AI363)*P363=0,"",(AE363*AH363*AI363)*P363)</f>
        <v/>
      </c>
      <c r="AT363" s="12" t="str">
        <f t="shared" ref="AT363:AT455" si="560">IF(AJ363*P363=0,"",AJ363*P363)</f>
        <v/>
      </c>
      <c r="AU363" s="12" t="str">
        <f t="shared" ref="AU363:AU455" si="561">IF(OR(H363="s1",H363="s2",H363="s3",H363="s4",H363="s4*",H363="s5",H363="s12",H363="s16"),IF(M363&gt;=4,M363,""),"")</f>
        <v/>
      </c>
      <c r="AV363" s="17"/>
      <c r="AX363" s="4"/>
    </row>
    <row r="364" spans="1:50" x14ac:dyDescent="0.25">
      <c r="A364" s="43" t="s">
        <v>276</v>
      </c>
      <c r="B364" s="52" t="s">
        <v>772</v>
      </c>
      <c r="C364" s="44"/>
      <c r="D364" s="43"/>
      <c r="E364" s="52" t="s">
        <v>785</v>
      </c>
      <c r="F364" s="46"/>
      <c r="G364" s="76" t="s">
        <v>777</v>
      </c>
      <c r="H364" s="48" t="s">
        <v>1093</v>
      </c>
      <c r="I364" s="48"/>
      <c r="J364" s="84" t="s">
        <v>1125</v>
      </c>
      <c r="K364" s="85"/>
      <c r="L364" s="47" t="s">
        <v>786</v>
      </c>
      <c r="M364" s="3">
        <v>1.1200000000000001</v>
      </c>
      <c r="N364" s="3">
        <f>6.45-3.5</f>
        <v>2.95</v>
      </c>
      <c r="O364" s="22">
        <v>0.1</v>
      </c>
      <c r="P364" s="23">
        <v>1</v>
      </c>
      <c r="Q364" s="3"/>
      <c r="R364" s="3">
        <f>0.8*2.17</f>
        <v>1.736</v>
      </c>
      <c r="S364" s="3"/>
      <c r="T364" s="3"/>
      <c r="U364" s="3"/>
      <c r="V364" s="23"/>
      <c r="W364" s="3"/>
      <c r="X364" s="3"/>
      <c r="Y364" s="17"/>
      <c r="Z364" s="17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12">
        <f t="shared" si="551"/>
        <v>1.5680000000000007</v>
      </c>
      <c r="AL364" s="12">
        <f t="shared" si="552"/>
        <v>1.5680000000000007</v>
      </c>
      <c r="AM364" s="12">
        <f t="shared" si="553"/>
        <v>0.15680000000000008</v>
      </c>
      <c r="AN364" s="12">
        <f t="shared" si="554"/>
        <v>0.15680000000000008</v>
      </c>
      <c r="AO364" s="12" t="str">
        <f t="shared" si="555"/>
        <v/>
      </c>
      <c r="AP364" s="12">
        <f t="shared" si="556"/>
        <v>1.1200000000000001</v>
      </c>
      <c r="AQ364" s="12" t="str">
        <f t="shared" si="557"/>
        <v/>
      </c>
      <c r="AR364" s="12" t="str">
        <f t="shared" si="558"/>
        <v/>
      </c>
      <c r="AS364" s="12" t="str">
        <f t="shared" si="559"/>
        <v/>
      </c>
      <c r="AT364" s="12" t="str">
        <f t="shared" si="560"/>
        <v/>
      </c>
      <c r="AU364" s="12" t="str">
        <f t="shared" si="561"/>
        <v/>
      </c>
      <c r="AV364" s="17"/>
      <c r="AX364" s="4"/>
    </row>
    <row r="365" spans="1:50" x14ac:dyDescent="0.25">
      <c r="A365" s="43" t="s">
        <v>276</v>
      </c>
      <c r="B365" s="52" t="s">
        <v>772</v>
      </c>
      <c r="C365" s="44"/>
      <c r="D365" s="43"/>
      <c r="E365" s="52" t="s">
        <v>785</v>
      </c>
      <c r="F365" s="46"/>
      <c r="G365" s="76" t="s">
        <v>778</v>
      </c>
      <c r="H365" s="48" t="s">
        <v>1093</v>
      </c>
      <c r="I365" s="48"/>
      <c r="J365" s="84" t="s">
        <v>1125</v>
      </c>
      <c r="K365" s="85"/>
      <c r="L365" s="47" t="s">
        <v>787</v>
      </c>
      <c r="M365" s="3">
        <v>2.6</v>
      </c>
      <c r="N365" s="3">
        <f>(6.45+4.97)/2-3.5</f>
        <v>2.21</v>
      </c>
      <c r="O365" s="22">
        <v>0.1</v>
      </c>
      <c r="P365" s="23">
        <v>1</v>
      </c>
      <c r="Q365" s="3"/>
      <c r="R365" s="3"/>
      <c r="S365" s="3"/>
      <c r="T365" s="3"/>
      <c r="U365" s="3"/>
      <c r="V365" s="23"/>
      <c r="W365" s="3"/>
      <c r="X365" s="3"/>
      <c r="Y365" s="17"/>
      <c r="Z365" s="17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12">
        <f t="shared" si="551"/>
        <v>5.7460000000000004</v>
      </c>
      <c r="AL365" s="12">
        <f t="shared" si="552"/>
        <v>5.7460000000000004</v>
      </c>
      <c r="AM365" s="12">
        <f t="shared" si="553"/>
        <v>0.57460000000000011</v>
      </c>
      <c r="AN365" s="12">
        <f t="shared" si="554"/>
        <v>0.57460000000000011</v>
      </c>
      <c r="AO365" s="12" t="str">
        <f t="shared" si="555"/>
        <v/>
      </c>
      <c r="AP365" s="12">
        <f t="shared" si="556"/>
        <v>2.6</v>
      </c>
      <c r="AQ365" s="12" t="str">
        <f t="shared" si="557"/>
        <v/>
      </c>
      <c r="AR365" s="12" t="str">
        <f t="shared" si="558"/>
        <v/>
      </c>
      <c r="AS365" s="12" t="str">
        <f t="shared" si="559"/>
        <v/>
      </c>
      <c r="AT365" s="12" t="str">
        <f t="shared" si="560"/>
        <v/>
      </c>
      <c r="AU365" s="12" t="str">
        <f t="shared" si="561"/>
        <v/>
      </c>
      <c r="AV365" s="17"/>
      <c r="AX365" s="4"/>
    </row>
    <row r="366" spans="1:50" x14ac:dyDescent="0.25">
      <c r="A366" s="43" t="s">
        <v>276</v>
      </c>
      <c r="B366" s="52" t="s">
        <v>772</v>
      </c>
      <c r="C366" s="44"/>
      <c r="D366" s="43"/>
      <c r="E366" s="52" t="s">
        <v>785</v>
      </c>
      <c r="F366" s="46"/>
      <c r="G366" s="76" t="s">
        <v>779</v>
      </c>
      <c r="H366" s="48" t="s">
        <v>1093</v>
      </c>
      <c r="I366" s="48"/>
      <c r="J366" s="84" t="s">
        <v>1125</v>
      </c>
      <c r="K366" s="85"/>
      <c r="L366" s="47" t="s">
        <v>538</v>
      </c>
      <c r="M366" s="3">
        <v>1.1100000000000001</v>
      </c>
      <c r="N366" s="3">
        <f>4.97-3.5</f>
        <v>1.4699999999999998</v>
      </c>
      <c r="O366" s="22">
        <v>0.1</v>
      </c>
      <c r="P366" s="23">
        <v>1</v>
      </c>
      <c r="Q366" s="3"/>
      <c r="R366" s="3"/>
      <c r="S366" s="3"/>
      <c r="T366" s="3"/>
      <c r="U366" s="3"/>
      <c r="V366" s="23"/>
      <c r="W366" s="3"/>
      <c r="X366" s="3"/>
      <c r="Y366" s="17"/>
      <c r="Z366" s="17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12">
        <f t="shared" si="551"/>
        <v>1.6316999999999999</v>
      </c>
      <c r="AL366" s="12">
        <f t="shared" si="552"/>
        <v>1.6316999999999999</v>
      </c>
      <c r="AM366" s="12">
        <f t="shared" si="553"/>
        <v>0.16317000000000001</v>
      </c>
      <c r="AN366" s="12">
        <f t="shared" si="554"/>
        <v>0.16317000000000001</v>
      </c>
      <c r="AO366" s="12" t="str">
        <f t="shared" si="555"/>
        <v/>
      </c>
      <c r="AP366" s="12">
        <f t="shared" si="556"/>
        <v>1.1100000000000001</v>
      </c>
      <c r="AQ366" s="12" t="str">
        <f t="shared" si="557"/>
        <v/>
      </c>
      <c r="AR366" s="12" t="str">
        <f t="shared" si="558"/>
        <v/>
      </c>
      <c r="AS366" s="12" t="str">
        <f t="shared" si="559"/>
        <v/>
      </c>
      <c r="AT366" s="12" t="str">
        <f t="shared" si="560"/>
        <v/>
      </c>
      <c r="AU366" s="12" t="str">
        <f t="shared" si="561"/>
        <v/>
      </c>
      <c r="AV366" s="17"/>
      <c r="AX366" s="4"/>
    </row>
    <row r="367" spans="1:50" x14ac:dyDescent="0.25">
      <c r="A367" s="43" t="s">
        <v>276</v>
      </c>
      <c r="B367" s="52" t="s">
        <v>654</v>
      </c>
      <c r="C367" s="44"/>
      <c r="D367" s="43"/>
      <c r="E367" s="52" t="s">
        <v>646</v>
      </c>
      <c r="F367" s="46"/>
      <c r="G367" s="76" t="s">
        <v>780</v>
      </c>
      <c r="H367" s="48" t="s">
        <v>1104</v>
      </c>
      <c r="I367" s="48"/>
      <c r="J367" s="84" t="s">
        <v>1132</v>
      </c>
      <c r="K367" s="85"/>
      <c r="L367" s="47" t="s">
        <v>622</v>
      </c>
      <c r="M367" s="3">
        <f>0.15+3.65</f>
        <v>3.8</v>
      </c>
      <c r="N367" s="3">
        <f t="shared" ref="N367:N416" si="562">6.45-3.55</f>
        <v>2.9000000000000004</v>
      </c>
      <c r="O367" s="22">
        <v>0.155</v>
      </c>
      <c r="P367" s="23">
        <v>1</v>
      </c>
      <c r="Q367" s="3"/>
      <c r="R367" s="3"/>
      <c r="S367" s="3"/>
      <c r="T367" s="3"/>
      <c r="U367" s="3"/>
      <c r="V367" s="23"/>
      <c r="W367" s="3"/>
      <c r="X367" s="3"/>
      <c r="Y367" s="17"/>
      <c r="Z367" s="17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12">
        <f t="shared" si="551"/>
        <v>11.020000000000001</v>
      </c>
      <c r="AL367" s="12">
        <f t="shared" si="552"/>
        <v>11.020000000000001</v>
      </c>
      <c r="AM367" s="12">
        <f t="shared" si="553"/>
        <v>1.7081000000000002</v>
      </c>
      <c r="AN367" s="12">
        <f t="shared" si="554"/>
        <v>1.7081000000000002</v>
      </c>
      <c r="AO367" s="12" t="str">
        <f t="shared" si="555"/>
        <v/>
      </c>
      <c r="AP367" s="12">
        <f t="shared" si="556"/>
        <v>3.8</v>
      </c>
      <c r="AQ367" s="12" t="str">
        <f t="shared" si="557"/>
        <v/>
      </c>
      <c r="AR367" s="12" t="str">
        <f t="shared" si="558"/>
        <v/>
      </c>
      <c r="AS367" s="12" t="str">
        <f t="shared" si="559"/>
        <v/>
      </c>
      <c r="AT367" s="12" t="str">
        <f t="shared" si="560"/>
        <v/>
      </c>
      <c r="AU367" s="12" t="str">
        <f t="shared" si="561"/>
        <v/>
      </c>
      <c r="AV367" s="17"/>
      <c r="AX367" s="4"/>
    </row>
    <row r="368" spans="1:50" x14ac:dyDescent="0.25">
      <c r="A368" s="43" t="s">
        <v>276</v>
      </c>
      <c r="B368" s="52" t="s">
        <v>654</v>
      </c>
      <c r="C368" s="44"/>
      <c r="D368" s="43"/>
      <c r="E368" s="52" t="s">
        <v>691</v>
      </c>
      <c r="F368" s="46"/>
      <c r="G368" s="76" t="s">
        <v>1150</v>
      </c>
      <c r="H368" s="48" t="s">
        <v>1104</v>
      </c>
      <c r="I368" s="48"/>
      <c r="J368" s="84" t="s">
        <v>1125</v>
      </c>
      <c r="K368" s="85"/>
      <c r="L368" s="47" t="s">
        <v>622</v>
      </c>
      <c r="M368" s="3">
        <f>0.35+2.4</f>
        <v>2.75</v>
      </c>
      <c r="N368" s="3">
        <f t="shared" si="562"/>
        <v>2.9000000000000004</v>
      </c>
      <c r="O368" s="22">
        <v>0.155</v>
      </c>
      <c r="P368" s="23">
        <v>1</v>
      </c>
      <c r="Q368" s="3"/>
      <c r="R368" s="3"/>
      <c r="S368" s="3"/>
      <c r="T368" s="3"/>
      <c r="U368" s="3"/>
      <c r="V368" s="23"/>
      <c r="W368" s="3"/>
      <c r="X368" s="3"/>
      <c r="Y368" s="17"/>
      <c r="Z368" s="17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12">
        <f t="shared" ref="AK368" si="563">IF(((M368*N368)-Q368-R368-S368+T368+U368)=0,"",((M368*N368)-Q368-R368-S368+T368+U368))</f>
        <v>7.9750000000000014</v>
      </c>
      <c r="AL368" s="12">
        <f t="shared" ref="AL368" si="564">IF(PRODUCT(P368,AK368)=0,"",P368*AK368)</f>
        <v>7.9750000000000014</v>
      </c>
      <c r="AM368" s="12">
        <f t="shared" ref="AM368" si="565">IF(PRODUCT(AK368,O368)=0,"",AK368*O368)</f>
        <v>1.2361250000000001</v>
      </c>
      <c r="AN368" s="12">
        <f t="shared" ref="AN368" si="566">IF(PRODUCT(AM368,P368)=0,"",AM368*P368)</f>
        <v>1.2361250000000001</v>
      </c>
      <c r="AO368" s="12" t="str">
        <f t="shared" ref="AO368" si="567">IF(N368*V368-W368+X368=0,"",N368*V368-W368+X368)</f>
        <v/>
      </c>
      <c r="AP368" s="12">
        <f t="shared" ref="AP368" si="568">IF(PRODUCT(M368,P368)=0,"",M368*P368)</f>
        <v>2.75</v>
      </c>
      <c r="AQ368" s="12" t="str">
        <f t="shared" ref="AQ368" si="569">IF(AA368+AB368=0,"",AA368+AB368)</f>
        <v/>
      </c>
      <c r="AR368" s="12" t="str">
        <f t="shared" ref="AR368" si="570">IF(AC368+AD368=0,"",AC368+AD368)</f>
        <v/>
      </c>
      <c r="AS368" s="12" t="str">
        <f t="shared" ref="AS368" si="571">IF((AE368*AH368*AI368)*P368=0,"",(AE368*AH368*AI368)*P368)</f>
        <v/>
      </c>
      <c r="AT368" s="12" t="str">
        <f t="shared" ref="AT368" si="572">IF(AJ368*P368=0,"",AJ368*P368)</f>
        <v/>
      </c>
      <c r="AU368" s="12" t="str">
        <f t="shared" ref="AU368" si="573">IF(OR(H368="s1",H368="s2",H368="s3",H368="s4",H368="s4*",H368="s5",H368="s12",H368="s16"),IF(M368&gt;=4,M368,""),"")</f>
        <v/>
      </c>
      <c r="AV368" s="17"/>
      <c r="AX368" s="4"/>
    </row>
    <row r="369" spans="1:50" x14ac:dyDescent="0.25">
      <c r="A369" s="43" t="s">
        <v>276</v>
      </c>
      <c r="B369" s="52" t="s">
        <v>788</v>
      </c>
      <c r="C369" s="44"/>
      <c r="D369" s="43"/>
      <c r="E369" s="52" t="s">
        <v>789</v>
      </c>
      <c r="F369" s="46"/>
      <c r="G369" s="76" t="s">
        <v>781</v>
      </c>
      <c r="H369" s="48" t="s">
        <v>1104</v>
      </c>
      <c r="I369" s="48"/>
      <c r="J369" s="84" t="s">
        <v>1132</v>
      </c>
      <c r="K369" s="85"/>
      <c r="L369" s="47"/>
      <c r="M369" s="3">
        <f>1.735+0.1+1.2+0.15+1.2</f>
        <v>4.3849999999999998</v>
      </c>
      <c r="N369" s="3">
        <f t="shared" si="562"/>
        <v>2.9000000000000004</v>
      </c>
      <c r="O369" s="22">
        <v>0.15</v>
      </c>
      <c r="P369" s="23">
        <v>1</v>
      </c>
      <c r="Q369" s="3">
        <f>0.8*0.8</f>
        <v>0.64000000000000012</v>
      </c>
      <c r="R369" s="3">
        <f>(0.9+0.8*2)*2.17</f>
        <v>5.4249999999999998</v>
      </c>
      <c r="S369" s="3"/>
      <c r="T369" s="3"/>
      <c r="U369" s="3"/>
      <c r="V369" s="23"/>
      <c r="W369" s="3"/>
      <c r="X369" s="3"/>
      <c r="Y369" s="17"/>
      <c r="Z369" s="17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12">
        <f t="shared" si="551"/>
        <v>6.6515000000000013</v>
      </c>
      <c r="AL369" s="12">
        <f t="shared" si="552"/>
        <v>6.6515000000000013</v>
      </c>
      <c r="AM369" s="12">
        <f t="shared" si="553"/>
        <v>0.9977250000000002</v>
      </c>
      <c r="AN369" s="12">
        <f t="shared" si="554"/>
        <v>0.9977250000000002</v>
      </c>
      <c r="AO369" s="12" t="str">
        <f t="shared" si="555"/>
        <v/>
      </c>
      <c r="AP369" s="12">
        <f t="shared" si="556"/>
        <v>4.3849999999999998</v>
      </c>
      <c r="AQ369" s="12" t="str">
        <f t="shared" si="557"/>
        <v/>
      </c>
      <c r="AR369" s="12" t="str">
        <f t="shared" si="558"/>
        <v/>
      </c>
      <c r="AS369" s="12" t="str">
        <f t="shared" si="559"/>
        <v/>
      </c>
      <c r="AT369" s="12" t="str">
        <f t="shared" si="560"/>
        <v/>
      </c>
      <c r="AU369" s="12" t="str">
        <f t="shared" si="561"/>
        <v/>
      </c>
      <c r="AV369" s="17"/>
      <c r="AX369" s="4"/>
    </row>
    <row r="370" spans="1:50" x14ac:dyDescent="0.25">
      <c r="A370" s="43" t="s">
        <v>276</v>
      </c>
      <c r="B370" s="52" t="s">
        <v>788</v>
      </c>
      <c r="C370" s="44"/>
      <c r="D370" s="43"/>
      <c r="E370" s="52" t="s">
        <v>790</v>
      </c>
      <c r="F370" s="46"/>
      <c r="G370" s="76" t="s">
        <v>782</v>
      </c>
      <c r="H370" s="48" t="s">
        <v>1090</v>
      </c>
      <c r="I370" s="48"/>
      <c r="J370" s="84" t="s">
        <v>1131</v>
      </c>
      <c r="K370" s="85"/>
      <c r="L370" s="47" t="s">
        <v>586</v>
      </c>
      <c r="M370" s="3">
        <f>0.83+0.15*2</f>
        <v>1.1299999999999999</v>
      </c>
      <c r="N370" s="3">
        <f t="shared" si="562"/>
        <v>2.9000000000000004</v>
      </c>
      <c r="O370" s="22">
        <v>7.4999999999999997E-2</v>
      </c>
      <c r="P370" s="23">
        <v>1</v>
      </c>
      <c r="Q370" s="3"/>
      <c r="R370" s="3"/>
      <c r="S370" s="3"/>
      <c r="T370" s="3"/>
      <c r="U370" s="3"/>
      <c r="V370" s="23"/>
      <c r="W370" s="3"/>
      <c r="X370" s="3"/>
      <c r="Y370" s="17"/>
      <c r="Z370" s="17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12">
        <f t="shared" si="551"/>
        <v>3.2770000000000001</v>
      </c>
      <c r="AL370" s="12">
        <f t="shared" si="552"/>
        <v>3.2770000000000001</v>
      </c>
      <c r="AM370" s="12">
        <f t="shared" si="553"/>
        <v>0.24577499999999999</v>
      </c>
      <c r="AN370" s="12">
        <f t="shared" si="554"/>
        <v>0.24577499999999999</v>
      </c>
      <c r="AO370" s="12" t="str">
        <f t="shared" si="555"/>
        <v/>
      </c>
      <c r="AP370" s="12">
        <f t="shared" si="556"/>
        <v>1.1299999999999999</v>
      </c>
      <c r="AQ370" s="12" t="str">
        <f t="shared" si="557"/>
        <v/>
      </c>
      <c r="AR370" s="12" t="str">
        <f t="shared" si="558"/>
        <v/>
      </c>
      <c r="AS370" s="12" t="str">
        <f t="shared" si="559"/>
        <v/>
      </c>
      <c r="AT370" s="12" t="str">
        <f t="shared" si="560"/>
        <v/>
      </c>
      <c r="AU370" s="12" t="str">
        <f t="shared" si="561"/>
        <v/>
      </c>
      <c r="AV370" s="17"/>
      <c r="AX370" s="4"/>
    </row>
    <row r="371" spans="1:50" x14ac:dyDescent="0.25">
      <c r="A371" s="43" t="s">
        <v>276</v>
      </c>
      <c r="B371" s="52" t="s">
        <v>646</v>
      </c>
      <c r="C371" s="44"/>
      <c r="D371" s="43"/>
      <c r="E371" s="52" t="s">
        <v>642</v>
      </c>
      <c r="F371" s="46"/>
      <c r="G371" s="76" t="s">
        <v>783</v>
      </c>
      <c r="H371" s="48" t="s">
        <v>1093</v>
      </c>
      <c r="I371" s="48"/>
      <c r="J371" s="84" t="s">
        <v>1131</v>
      </c>
      <c r="K371" s="85"/>
      <c r="L371" s="47"/>
      <c r="M371" s="3">
        <f>2.05+0.1+1.6</f>
        <v>3.75</v>
      </c>
      <c r="N371" s="3">
        <f t="shared" si="562"/>
        <v>2.9000000000000004</v>
      </c>
      <c r="O371" s="22">
        <v>0.1</v>
      </c>
      <c r="P371" s="23">
        <v>1</v>
      </c>
      <c r="Q371" s="3"/>
      <c r="R371" s="3"/>
      <c r="S371" s="3"/>
      <c r="T371" s="3"/>
      <c r="U371" s="3"/>
      <c r="V371" s="23"/>
      <c r="W371" s="3"/>
      <c r="X371" s="3"/>
      <c r="Y371" s="17"/>
      <c r="Z371" s="17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12">
        <f t="shared" si="551"/>
        <v>10.875000000000002</v>
      </c>
      <c r="AL371" s="12">
        <f t="shared" si="552"/>
        <v>10.875000000000002</v>
      </c>
      <c r="AM371" s="12">
        <f t="shared" si="553"/>
        <v>1.0875000000000001</v>
      </c>
      <c r="AN371" s="12">
        <f t="shared" si="554"/>
        <v>1.0875000000000001</v>
      </c>
      <c r="AO371" s="12" t="str">
        <f t="shared" si="555"/>
        <v/>
      </c>
      <c r="AP371" s="12">
        <f t="shared" si="556"/>
        <v>3.75</v>
      </c>
      <c r="AQ371" s="12" t="str">
        <f t="shared" si="557"/>
        <v/>
      </c>
      <c r="AR371" s="12" t="str">
        <f t="shared" si="558"/>
        <v/>
      </c>
      <c r="AS371" s="12" t="str">
        <f t="shared" si="559"/>
        <v/>
      </c>
      <c r="AT371" s="12" t="str">
        <f t="shared" si="560"/>
        <v/>
      </c>
      <c r="AU371" s="12" t="str">
        <f t="shared" si="561"/>
        <v/>
      </c>
      <c r="AV371" s="17"/>
      <c r="AX371" s="4"/>
    </row>
    <row r="372" spans="1:50" x14ac:dyDescent="0.25">
      <c r="A372" s="43" t="s">
        <v>276</v>
      </c>
      <c r="B372" s="52" t="s">
        <v>646</v>
      </c>
      <c r="C372" s="44"/>
      <c r="D372" s="43"/>
      <c r="E372" s="52" t="s">
        <v>691</v>
      </c>
      <c r="F372" s="46"/>
      <c r="G372" s="76" t="s">
        <v>784</v>
      </c>
      <c r="H372" s="48" t="s">
        <v>1116</v>
      </c>
      <c r="I372" s="48"/>
      <c r="J372" s="84" t="s">
        <v>1151</v>
      </c>
      <c r="K372" s="85"/>
      <c r="L372" s="47" t="s">
        <v>567</v>
      </c>
      <c r="M372" s="3">
        <f>1.735+0.1</f>
        <v>1.8350000000000002</v>
      </c>
      <c r="N372" s="3">
        <f t="shared" si="562"/>
        <v>2.9000000000000004</v>
      </c>
      <c r="O372" s="22">
        <v>0.35</v>
      </c>
      <c r="P372" s="23">
        <v>1</v>
      </c>
      <c r="Q372" s="3"/>
      <c r="R372" s="3"/>
      <c r="S372" s="3"/>
      <c r="T372" s="3"/>
      <c r="U372" s="3"/>
      <c r="V372" s="23"/>
      <c r="W372" s="3"/>
      <c r="X372" s="3"/>
      <c r="Y372" s="17"/>
      <c r="Z372" s="17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12">
        <f t="shared" si="551"/>
        <v>5.3215000000000012</v>
      </c>
      <c r="AL372" s="12">
        <f t="shared" si="552"/>
        <v>5.3215000000000012</v>
      </c>
      <c r="AM372" s="12">
        <f t="shared" si="553"/>
        <v>1.8625250000000002</v>
      </c>
      <c r="AN372" s="12">
        <f t="shared" si="554"/>
        <v>1.8625250000000002</v>
      </c>
      <c r="AO372" s="12" t="str">
        <f t="shared" si="555"/>
        <v/>
      </c>
      <c r="AP372" s="12">
        <f t="shared" si="556"/>
        <v>1.8350000000000002</v>
      </c>
      <c r="AQ372" s="12" t="str">
        <f t="shared" si="557"/>
        <v/>
      </c>
      <c r="AR372" s="12" t="str">
        <f t="shared" si="558"/>
        <v/>
      </c>
      <c r="AS372" s="12" t="str">
        <f t="shared" si="559"/>
        <v/>
      </c>
      <c r="AT372" s="12" t="str">
        <f t="shared" si="560"/>
        <v/>
      </c>
      <c r="AU372" s="12" t="str">
        <f t="shared" si="561"/>
        <v/>
      </c>
      <c r="AV372" s="17"/>
      <c r="AX372" s="4"/>
    </row>
    <row r="373" spans="1:50" x14ac:dyDescent="0.25">
      <c r="A373" s="43" t="s">
        <v>276</v>
      </c>
      <c r="B373" s="52" t="s">
        <v>691</v>
      </c>
      <c r="C373" s="44"/>
      <c r="D373" s="43"/>
      <c r="E373" s="52" t="s">
        <v>795</v>
      </c>
      <c r="F373" s="46"/>
      <c r="G373" s="76" t="s">
        <v>791</v>
      </c>
      <c r="H373" s="48" t="s">
        <v>1098</v>
      </c>
      <c r="I373" s="48"/>
      <c r="J373" s="84" t="s">
        <v>1151</v>
      </c>
      <c r="K373" s="85"/>
      <c r="L373" s="47" t="s">
        <v>567</v>
      </c>
      <c r="M373" s="3">
        <f>1.2*2+0.15</f>
        <v>2.5499999999999998</v>
      </c>
      <c r="N373" s="3">
        <f t="shared" si="562"/>
        <v>2.9000000000000004</v>
      </c>
      <c r="O373" s="22">
        <v>0.25</v>
      </c>
      <c r="P373" s="23">
        <v>1</v>
      </c>
      <c r="Q373" s="3"/>
      <c r="R373" s="3"/>
      <c r="S373" s="3"/>
      <c r="T373" s="3"/>
      <c r="U373" s="3"/>
      <c r="V373" s="23"/>
      <c r="W373" s="3"/>
      <c r="X373" s="3"/>
      <c r="Y373" s="17"/>
      <c r="Z373" s="17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12">
        <f t="shared" si="551"/>
        <v>7.3950000000000005</v>
      </c>
      <c r="AL373" s="12">
        <f t="shared" si="552"/>
        <v>7.3950000000000005</v>
      </c>
      <c r="AM373" s="12">
        <f t="shared" si="553"/>
        <v>1.8487500000000001</v>
      </c>
      <c r="AN373" s="12">
        <f t="shared" si="554"/>
        <v>1.8487500000000001</v>
      </c>
      <c r="AO373" s="12" t="str">
        <f t="shared" si="555"/>
        <v/>
      </c>
      <c r="AP373" s="12">
        <f t="shared" si="556"/>
        <v>2.5499999999999998</v>
      </c>
      <c r="AQ373" s="12" t="str">
        <f t="shared" si="557"/>
        <v/>
      </c>
      <c r="AR373" s="12" t="str">
        <f t="shared" si="558"/>
        <v/>
      </c>
      <c r="AS373" s="12" t="str">
        <f t="shared" si="559"/>
        <v/>
      </c>
      <c r="AT373" s="12" t="str">
        <f t="shared" si="560"/>
        <v/>
      </c>
      <c r="AU373" s="12" t="str">
        <f t="shared" si="561"/>
        <v/>
      </c>
      <c r="AV373" s="17"/>
      <c r="AX373" s="4"/>
    </row>
    <row r="374" spans="1:50" x14ac:dyDescent="0.25">
      <c r="A374" s="43" t="s">
        <v>276</v>
      </c>
      <c r="B374" s="52" t="s">
        <v>642</v>
      </c>
      <c r="C374" s="44"/>
      <c r="D374" s="43"/>
      <c r="E374" s="52" t="s">
        <v>796</v>
      </c>
      <c r="F374" s="46"/>
      <c r="G374" s="76" t="s">
        <v>792</v>
      </c>
      <c r="H374" s="48" t="s">
        <v>1097</v>
      </c>
      <c r="I374" s="48"/>
      <c r="J374" s="84" t="s">
        <v>1131</v>
      </c>
      <c r="K374" s="85"/>
      <c r="L374" s="47"/>
      <c r="M374" s="3">
        <f>2.05+0.1+1.6</f>
        <v>3.75</v>
      </c>
      <c r="N374" s="3">
        <f t="shared" si="562"/>
        <v>2.9000000000000004</v>
      </c>
      <c r="O374" s="22">
        <v>0.15</v>
      </c>
      <c r="P374" s="23">
        <v>1</v>
      </c>
      <c r="Q374" s="3"/>
      <c r="R374" s="3"/>
      <c r="S374" s="3"/>
      <c r="T374" s="3"/>
      <c r="U374" s="3"/>
      <c r="V374" s="23"/>
      <c r="W374" s="3"/>
      <c r="X374" s="3"/>
      <c r="Y374" s="17"/>
      <c r="Z374" s="17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12">
        <f t="shared" si="551"/>
        <v>10.875000000000002</v>
      </c>
      <c r="AL374" s="12">
        <f t="shared" si="552"/>
        <v>10.875000000000002</v>
      </c>
      <c r="AM374" s="12">
        <f t="shared" si="553"/>
        <v>1.6312500000000003</v>
      </c>
      <c r="AN374" s="12">
        <f t="shared" si="554"/>
        <v>1.6312500000000003</v>
      </c>
      <c r="AO374" s="12" t="str">
        <f t="shared" si="555"/>
        <v/>
      </c>
      <c r="AP374" s="12">
        <f t="shared" si="556"/>
        <v>3.75</v>
      </c>
      <c r="AQ374" s="12" t="str">
        <f t="shared" si="557"/>
        <v/>
      </c>
      <c r="AR374" s="12" t="str">
        <f t="shared" si="558"/>
        <v/>
      </c>
      <c r="AS374" s="12" t="str">
        <f t="shared" si="559"/>
        <v/>
      </c>
      <c r="AT374" s="12" t="str">
        <f t="shared" si="560"/>
        <v/>
      </c>
      <c r="AU374" s="12" t="str">
        <f t="shared" si="561"/>
        <v/>
      </c>
      <c r="AV374" s="17"/>
      <c r="AX374" s="4"/>
    </row>
    <row r="375" spans="1:50" x14ac:dyDescent="0.25">
      <c r="A375" s="43" t="s">
        <v>276</v>
      </c>
      <c r="B375" s="52" t="s">
        <v>643</v>
      </c>
      <c r="C375" s="44"/>
      <c r="D375" s="43"/>
      <c r="E375" s="52" t="s">
        <v>640</v>
      </c>
      <c r="F375" s="46"/>
      <c r="G375" s="76" t="s">
        <v>793</v>
      </c>
      <c r="H375" s="48" t="s">
        <v>1093</v>
      </c>
      <c r="I375" s="48"/>
      <c r="J375" s="84" t="s">
        <v>1131</v>
      </c>
      <c r="K375" s="85"/>
      <c r="L375" s="47"/>
      <c r="M375" s="3">
        <v>1.2</v>
      </c>
      <c r="N375" s="3">
        <f t="shared" si="562"/>
        <v>2.9000000000000004</v>
      </c>
      <c r="O375" s="22">
        <v>0.1</v>
      </c>
      <c r="P375" s="23">
        <v>1</v>
      </c>
      <c r="Q375" s="3"/>
      <c r="R375" s="3">
        <f>0.8*2.17</f>
        <v>1.736</v>
      </c>
      <c r="S375" s="3"/>
      <c r="T375" s="3"/>
      <c r="U375" s="3"/>
      <c r="V375" s="23"/>
      <c r="W375" s="3"/>
      <c r="X375" s="3"/>
      <c r="Y375" s="17"/>
      <c r="Z375" s="17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12">
        <f t="shared" si="551"/>
        <v>1.7440000000000004</v>
      </c>
      <c r="AL375" s="12">
        <f t="shared" si="552"/>
        <v>1.7440000000000004</v>
      </c>
      <c r="AM375" s="12">
        <f t="shared" si="553"/>
        <v>0.17440000000000005</v>
      </c>
      <c r="AN375" s="12">
        <f t="shared" si="554"/>
        <v>0.17440000000000005</v>
      </c>
      <c r="AO375" s="12" t="str">
        <f t="shared" si="555"/>
        <v/>
      </c>
      <c r="AP375" s="12">
        <f t="shared" si="556"/>
        <v>1.2</v>
      </c>
      <c r="AQ375" s="12" t="str">
        <f t="shared" si="557"/>
        <v/>
      </c>
      <c r="AR375" s="12" t="str">
        <f t="shared" si="558"/>
        <v/>
      </c>
      <c r="AS375" s="12" t="str">
        <f t="shared" si="559"/>
        <v/>
      </c>
      <c r="AT375" s="12" t="str">
        <f t="shared" si="560"/>
        <v/>
      </c>
      <c r="AU375" s="12" t="str">
        <f t="shared" si="561"/>
        <v/>
      </c>
      <c r="AV375" s="17"/>
      <c r="AX375" s="4"/>
    </row>
    <row r="376" spans="1:50" x14ac:dyDescent="0.25">
      <c r="A376" s="43" t="s">
        <v>276</v>
      </c>
      <c r="B376" s="52" t="s">
        <v>628</v>
      </c>
      <c r="C376" s="44"/>
      <c r="D376" s="43"/>
      <c r="E376" s="52" t="s">
        <v>690</v>
      </c>
      <c r="F376" s="46"/>
      <c r="G376" s="76" t="s">
        <v>794</v>
      </c>
      <c r="H376" s="48" t="s">
        <v>1093</v>
      </c>
      <c r="I376" s="48"/>
      <c r="J376" s="84" t="s">
        <v>1131</v>
      </c>
      <c r="K376" s="85"/>
      <c r="L376" s="47"/>
      <c r="M376" s="3">
        <v>1.2</v>
      </c>
      <c r="N376" s="3">
        <f t="shared" si="562"/>
        <v>2.9000000000000004</v>
      </c>
      <c r="O376" s="22">
        <v>0.1</v>
      </c>
      <c r="P376" s="23">
        <v>1</v>
      </c>
      <c r="Q376" s="3"/>
      <c r="R376" s="3">
        <f>0.8*2.17</f>
        <v>1.736</v>
      </c>
      <c r="S376" s="3"/>
      <c r="T376" s="3"/>
      <c r="U376" s="3"/>
      <c r="V376" s="23"/>
      <c r="W376" s="3"/>
      <c r="X376" s="3"/>
      <c r="Y376" s="17"/>
      <c r="Z376" s="17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12">
        <f t="shared" si="551"/>
        <v>1.7440000000000004</v>
      </c>
      <c r="AL376" s="12">
        <f t="shared" si="552"/>
        <v>1.7440000000000004</v>
      </c>
      <c r="AM376" s="12">
        <f t="shared" si="553"/>
        <v>0.17440000000000005</v>
      </c>
      <c r="AN376" s="12">
        <f t="shared" si="554"/>
        <v>0.17440000000000005</v>
      </c>
      <c r="AO376" s="12" t="str">
        <f t="shared" si="555"/>
        <v/>
      </c>
      <c r="AP376" s="12">
        <f t="shared" si="556"/>
        <v>1.2</v>
      </c>
      <c r="AQ376" s="12" t="str">
        <f t="shared" si="557"/>
        <v/>
      </c>
      <c r="AR376" s="12" t="str">
        <f t="shared" si="558"/>
        <v/>
      </c>
      <c r="AS376" s="12" t="str">
        <f t="shared" si="559"/>
        <v/>
      </c>
      <c r="AT376" s="12" t="str">
        <f t="shared" si="560"/>
        <v/>
      </c>
      <c r="AU376" s="12" t="str">
        <f t="shared" si="561"/>
        <v/>
      </c>
      <c r="AV376" s="17"/>
      <c r="AX376" s="4"/>
    </row>
    <row r="377" spans="1:50" x14ac:dyDescent="0.25">
      <c r="A377" s="43" t="s">
        <v>276</v>
      </c>
      <c r="B377" s="52" t="s">
        <v>692</v>
      </c>
      <c r="C377" s="44"/>
      <c r="D377" s="43"/>
      <c r="E377" s="52" t="s">
        <v>822</v>
      </c>
      <c r="F377" s="46"/>
      <c r="G377" s="76" t="s">
        <v>797</v>
      </c>
      <c r="H377" s="48" t="s">
        <v>1094</v>
      </c>
      <c r="I377" s="48"/>
      <c r="J377" s="84"/>
      <c r="K377" s="85"/>
      <c r="L377" s="47"/>
      <c r="M377" s="3">
        <v>0.2</v>
      </c>
      <c r="N377" s="3">
        <f>6.2-3.55</f>
        <v>2.6500000000000004</v>
      </c>
      <c r="O377" s="22">
        <v>0.24</v>
      </c>
      <c r="P377" s="23">
        <v>1</v>
      </c>
      <c r="Q377" s="3"/>
      <c r="R377" s="3"/>
      <c r="S377" s="3"/>
      <c r="T377" s="3"/>
      <c r="U377" s="3"/>
      <c r="V377" s="23"/>
      <c r="W377" s="3"/>
      <c r="X377" s="3"/>
      <c r="Y377" s="17"/>
      <c r="Z377" s="17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12">
        <f t="shared" si="551"/>
        <v>0.53000000000000014</v>
      </c>
      <c r="AL377" s="12">
        <f t="shared" si="552"/>
        <v>0.53000000000000014</v>
      </c>
      <c r="AM377" s="12">
        <f t="shared" si="553"/>
        <v>0.12720000000000004</v>
      </c>
      <c r="AN377" s="12">
        <f t="shared" si="554"/>
        <v>0.12720000000000004</v>
      </c>
      <c r="AO377" s="12" t="str">
        <f t="shared" si="555"/>
        <v/>
      </c>
      <c r="AP377" s="12">
        <f t="shared" si="556"/>
        <v>0.2</v>
      </c>
      <c r="AQ377" s="12" t="str">
        <f t="shared" si="557"/>
        <v/>
      </c>
      <c r="AR377" s="12" t="str">
        <f t="shared" si="558"/>
        <v/>
      </c>
      <c r="AS377" s="12" t="str">
        <f t="shared" si="559"/>
        <v/>
      </c>
      <c r="AT377" s="12" t="str">
        <f t="shared" si="560"/>
        <v/>
      </c>
      <c r="AU377" s="12" t="str">
        <f t="shared" si="561"/>
        <v/>
      </c>
      <c r="AV377" s="17"/>
      <c r="AX377" s="4"/>
    </row>
    <row r="378" spans="1:50" x14ac:dyDescent="0.25">
      <c r="A378" s="43" t="s">
        <v>276</v>
      </c>
      <c r="B378" s="52" t="s">
        <v>627</v>
      </c>
      <c r="C378" s="44"/>
      <c r="D378" s="43"/>
      <c r="E378" s="52" t="s">
        <v>517</v>
      </c>
      <c r="F378" s="46"/>
      <c r="G378" s="76" t="s">
        <v>798</v>
      </c>
      <c r="H378" s="81" t="s">
        <v>1093</v>
      </c>
      <c r="I378" s="48"/>
      <c r="J378" s="84" t="s">
        <v>1125</v>
      </c>
      <c r="K378" s="85"/>
      <c r="L378" s="47" t="s">
        <v>517</v>
      </c>
      <c r="M378" s="3">
        <f>1.6+0.6</f>
        <v>2.2000000000000002</v>
      </c>
      <c r="N378" s="3">
        <f>6.4-3.55</f>
        <v>2.8500000000000005</v>
      </c>
      <c r="O378" s="22">
        <v>0.1</v>
      </c>
      <c r="P378" s="23">
        <v>1</v>
      </c>
      <c r="Q378" s="3"/>
      <c r="R378" s="3"/>
      <c r="S378" s="3"/>
      <c r="T378" s="3"/>
      <c r="U378" s="3"/>
      <c r="V378" s="23"/>
      <c r="W378" s="3"/>
      <c r="X378" s="3"/>
      <c r="Y378" s="17"/>
      <c r="Z378" s="17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12">
        <f t="shared" si="551"/>
        <v>6.2700000000000014</v>
      </c>
      <c r="AL378" s="12">
        <f t="shared" si="552"/>
        <v>6.2700000000000014</v>
      </c>
      <c r="AM378" s="12">
        <f t="shared" si="553"/>
        <v>0.62700000000000022</v>
      </c>
      <c r="AN378" s="12">
        <f t="shared" si="554"/>
        <v>0.62700000000000022</v>
      </c>
      <c r="AO378" s="12" t="str">
        <f t="shared" si="555"/>
        <v/>
      </c>
      <c r="AP378" s="12">
        <f t="shared" si="556"/>
        <v>2.2000000000000002</v>
      </c>
      <c r="AQ378" s="12" t="str">
        <f t="shared" si="557"/>
        <v/>
      </c>
      <c r="AR378" s="12" t="str">
        <f t="shared" si="558"/>
        <v/>
      </c>
      <c r="AS378" s="12" t="str">
        <f t="shared" si="559"/>
        <v/>
      </c>
      <c r="AT378" s="12" t="str">
        <f t="shared" si="560"/>
        <v/>
      </c>
      <c r="AU378" s="12" t="str">
        <f t="shared" si="561"/>
        <v/>
      </c>
      <c r="AV378" s="17"/>
      <c r="AX378" s="4"/>
    </row>
    <row r="379" spans="1:50" x14ac:dyDescent="0.25">
      <c r="A379" s="43" t="s">
        <v>276</v>
      </c>
      <c r="B379" s="52" t="s">
        <v>630</v>
      </c>
      <c r="C379" s="44"/>
      <c r="D379" s="43"/>
      <c r="E379" s="52" t="s">
        <v>641</v>
      </c>
      <c r="F379" s="46"/>
      <c r="G379" s="76" t="s">
        <v>799</v>
      </c>
      <c r="H379" s="48" t="s">
        <v>1103</v>
      </c>
      <c r="I379" s="48"/>
      <c r="J379" s="84" t="s">
        <v>1145</v>
      </c>
      <c r="K379" s="85"/>
      <c r="L379" s="47" t="s">
        <v>567</v>
      </c>
      <c r="M379" s="3">
        <f>1.35+0.2</f>
        <v>1.55</v>
      </c>
      <c r="N379" s="3">
        <f t="shared" ref="N379:N385" si="574">6.4-3.55</f>
        <v>2.8500000000000005</v>
      </c>
      <c r="O379" s="22">
        <v>0.4</v>
      </c>
      <c r="P379" s="23">
        <v>1</v>
      </c>
      <c r="Q379" s="3"/>
      <c r="R379" s="3"/>
      <c r="S379" s="3"/>
      <c r="T379" s="3"/>
      <c r="U379" s="3"/>
      <c r="V379" s="23"/>
      <c r="W379" s="3"/>
      <c r="X379" s="3"/>
      <c r="Y379" s="17"/>
      <c r="Z379" s="17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12">
        <f t="shared" ref="AK379:AK452" si="575">IF(((M379*N379)-Q379-R379-S379+T379+U379)=0,"",((M379*N379)-Q379-R379-S379+T379+U379))</f>
        <v>4.4175000000000013</v>
      </c>
      <c r="AL379" s="12">
        <f t="shared" ref="AL379:AL452" si="576">IF(PRODUCT(P379,AK379)=0,"",P379*AK379)</f>
        <v>4.4175000000000013</v>
      </c>
      <c r="AM379" s="12">
        <f t="shared" ref="AM379:AM452" si="577">IF(PRODUCT(AK379,O379)=0,"",AK379*O379)</f>
        <v>1.7670000000000006</v>
      </c>
      <c r="AN379" s="12">
        <f t="shared" ref="AN379:AN452" si="578">IF(PRODUCT(AM379,P379)=0,"",AM379*P379)</f>
        <v>1.7670000000000006</v>
      </c>
      <c r="AO379" s="12" t="str">
        <f t="shared" ref="AO379:AO452" si="579">IF(N379*V379-W379+X379=0,"",N379*V379-W379+X379)</f>
        <v/>
      </c>
      <c r="AP379" s="12">
        <f t="shared" ref="AP379:AP452" si="580">IF(PRODUCT(M379,P379)=0,"",M379*P379)</f>
        <v>1.55</v>
      </c>
      <c r="AQ379" s="12" t="str">
        <f t="shared" ref="AQ379:AQ452" si="581">IF(AA379+AB379=0,"",AA379+AB379)</f>
        <v/>
      </c>
      <c r="AR379" s="12" t="str">
        <f t="shared" ref="AR379:AR452" si="582">IF(AC379+AD379=0,"",AC379+AD379)</f>
        <v/>
      </c>
      <c r="AS379" s="12" t="str">
        <f t="shared" ref="AS379:AS452" si="583">IF((AE379*AH379*AI379)*P379=0,"",(AE379*AH379*AI379)*P379)</f>
        <v/>
      </c>
      <c r="AT379" s="12" t="str">
        <f t="shared" ref="AT379:AT452" si="584">IF(AJ379*P379=0,"",AJ379*P379)</f>
        <v/>
      </c>
      <c r="AU379" s="12" t="str">
        <f t="shared" ref="AU379:AU405" si="585">IF(OR(H379="s1",H379="s2",H379="s3",H379="s4",H379="s4*",H379="s5",H379="s12",H379="s16"),IF(M379&gt;=4,M379,""),"")</f>
        <v/>
      </c>
      <c r="AV379" s="17"/>
      <c r="AX379" s="4"/>
    </row>
    <row r="380" spans="1:50" x14ac:dyDescent="0.25">
      <c r="A380" s="43" t="s">
        <v>276</v>
      </c>
      <c r="B380" s="52" t="s">
        <v>630</v>
      </c>
      <c r="C380" s="44"/>
      <c r="D380" s="43"/>
      <c r="E380" s="52"/>
      <c r="F380" s="46"/>
      <c r="G380" s="76" t="s">
        <v>1117</v>
      </c>
      <c r="H380" s="48" t="s">
        <v>1090</v>
      </c>
      <c r="I380" s="48"/>
      <c r="J380" s="84" t="s">
        <v>1125</v>
      </c>
      <c r="K380" s="85"/>
      <c r="L380" s="47" t="s">
        <v>1175</v>
      </c>
      <c r="M380" s="3">
        <v>1.35</v>
      </c>
      <c r="N380" s="3">
        <f t="shared" si="574"/>
        <v>2.8500000000000005</v>
      </c>
      <c r="O380" s="22">
        <v>0.4</v>
      </c>
      <c r="P380" s="23">
        <v>1</v>
      </c>
      <c r="Q380" s="3"/>
      <c r="R380" s="3"/>
      <c r="S380" s="3"/>
      <c r="T380" s="3"/>
      <c r="U380" s="3"/>
      <c r="V380" s="23"/>
      <c r="W380" s="3"/>
      <c r="X380" s="3"/>
      <c r="Y380" s="17"/>
      <c r="Z380" s="17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12">
        <f t="shared" ref="AK380" si="586">IF(((M380*N380)-Q380-R380-S380+T380+U380)=0,"",((M380*N380)-Q380-R380-S380+T380+U380))</f>
        <v>3.847500000000001</v>
      </c>
      <c r="AL380" s="12">
        <f t="shared" ref="AL380" si="587">IF(PRODUCT(P380,AK380)=0,"",P380*AK380)</f>
        <v>3.847500000000001</v>
      </c>
      <c r="AM380" s="12">
        <f t="shared" ref="AM380" si="588">IF(PRODUCT(AK380,O380)=0,"",AK380*O380)</f>
        <v>1.5390000000000006</v>
      </c>
      <c r="AN380" s="12">
        <f t="shared" ref="AN380" si="589">IF(PRODUCT(AM380,P380)=0,"",AM380*P380)</f>
        <v>1.5390000000000006</v>
      </c>
      <c r="AO380" s="12" t="str">
        <f t="shared" ref="AO380" si="590">IF(N380*V380-W380+X380=0,"",N380*V380-W380+X380)</f>
        <v/>
      </c>
      <c r="AP380" s="12">
        <f t="shared" ref="AP380" si="591">IF(PRODUCT(M380,P380)=0,"",M380*P380)</f>
        <v>1.35</v>
      </c>
      <c r="AQ380" s="12" t="str">
        <f t="shared" ref="AQ380" si="592">IF(AA380+AB380=0,"",AA380+AB380)</f>
        <v/>
      </c>
      <c r="AR380" s="12" t="str">
        <f t="shared" ref="AR380" si="593">IF(AC380+AD380=0,"",AC380+AD380)</f>
        <v/>
      </c>
      <c r="AS380" s="12" t="str">
        <f t="shared" ref="AS380" si="594">IF((AE380*AH380*AI380)*P380=0,"",(AE380*AH380*AI380)*P380)</f>
        <v/>
      </c>
      <c r="AT380" s="12" t="str">
        <f t="shared" ref="AT380" si="595">IF(AJ380*P380=0,"",AJ380*P380)</f>
        <v/>
      </c>
      <c r="AU380" s="12" t="str">
        <f t="shared" ref="AU380" si="596">IF(OR(H380="s1",H380="s2",H380="s3",H380="s4",H380="s4*",H380="s5",H380="s12",H380="s16"),IF(M380&gt;=4,M380,""),"")</f>
        <v/>
      </c>
      <c r="AV380" s="17"/>
      <c r="AX380" s="4"/>
    </row>
    <row r="381" spans="1:50" x14ac:dyDescent="0.25">
      <c r="A381" s="43" t="s">
        <v>276</v>
      </c>
      <c r="B381" s="52" t="s">
        <v>636</v>
      </c>
      <c r="C381" s="44"/>
      <c r="D381" s="43"/>
      <c r="E381" s="52" t="s">
        <v>641</v>
      </c>
      <c r="F381" s="46"/>
      <c r="G381" s="76" t="s">
        <v>800</v>
      </c>
      <c r="H381" s="48" t="s">
        <v>1092</v>
      </c>
      <c r="I381" s="48"/>
      <c r="J381" s="84" t="s">
        <v>1131</v>
      </c>
      <c r="K381" s="85"/>
      <c r="L381" s="47" t="s">
        <v>567</v>
      </c>
      <c r="M381" s="3">
        <f>3.77-1.35-0.2</f>
        <v>2.2199999999999998</v>
      </c>
      <c r="N381" s="3">
        <f t="shared" si="574"/>
        <v>2.8500000000000005</v>
      </c>
      <c r="O381" s="22">
        <v>0.2</v>
      </c>
      <c r="P381" s="23">
        <v>1</v>
      </c>
      <c r="Q381" s="3"/>
      <c r="R381" s="3"/>
      <c r="S381" s="3"/>
      <c r="T381" s="3"/>
      <c r="U381" s="3"/>
      <c r="V381" s="23"/>
      <c r="W381" s="3"/>
      <c r="X381" s="3"/>
      <c r="Y381" s="17"/>
      <c r="Z381" s="17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12">
        <f t="shared" si="575"/>
        <v>6.3270000000000008</v>
      </c>
      <c r="AL381" s="12">
        <f t="shared" si="576"/>
        <v>6.3270000000000008</v>
      </c>
      <c r="AM381" s="12">
        <f t="shared" si="577"/>
        <v>1.2654000000000003</v>
      </c>
      <c r="AN381" s="12">
        <f t="shared" si="578"/>
        <v>1.2654000000000003</v>
      </c>
      <c r="AO381" s="12" t="str">
        <f t="shared" si="579"/>
        <v/>
      </c>
      <c r="AP381" s="12">
        <f t="shared" si="580"/>
        <v>2.2199999999999998</v>
      </c>
      <c r="AQ381" s="12" t="str">
        <f t="shared" si="581"/>
        <v/>
      </c>
      <c r="AR381" s="12" t="str">
        <f t="shared" si="582"/>
        <v/>
      </c>
      <c r="AS381" s="12" t="str">
        <f t="shared" si="583"/>
        <v/>
      </c>
      <c r="AT381" s="12" t="str">
        <f t="shared" si="584"/>
        <v/>
      </c>
      <c r="AU381" s="12" t="str">
        <f t="shared" si="585"/>
        <v/>
      </c>
      <c r="AV381" s="17"/>
      <c r="AX381" s="4"/>
    </row>
    <row r="382" spans="1:50" x14ac:dyDescent="0.25">
      <c r="A382" s="43" t="s">
        <v>276</v>
      </c>
      <c r="B382" s="52" t="s">
        <v>636</v>
      </c>
      <c r="C382" s="44"/>
      <c r="D382" s="43"/>
      <c r="E382" s="52" t="s">
        <v>630</v>
      </c>
      <c r="F382" s="46"/>
      <c r="G382" s="76" t="s">
        <v>801</v>
      </c>
      <c r="H382" s="48" t="s">
        <v>1103</v>
      </c>
      <c r="I382" s="48"/>
      <c r="J382" s="84" t="s">
        <v>1145</v>
      </c>
      <c r="K382" s="85"/>
      <c r="L382" s="47" t="s">
        <v>567</v>
      </c>
      <c r="M382" s="3">
        <f>1.75+0.15+0.2-0.4</f>
        <v>1.7000000000000002</v>
      </c>
      <c r="N382" s="3">
        <f t="shared" si="574"/>
        <v>2.8500000000000005</v>
      </c>
      <c r="O382" s="22">
        <v>0.2</v>
      </c>
      <c r="P382" s="23">
        <v>1</v>
      </c>
      <c r="Q382" s="3"/>
      <c r="R382" s="3"/>
      <c r="S382" s="3"/>
      <c r="T382" s="3"/>
      <c r="U382" s="3"/>
      <c r="V382" s="23"/>
      <c r="W382" s="3"/>
      <c r="X382" s="3"/>
      <c r="Y382" s="17"/>
      <c r="Z382" s="17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12">
        <f t="shared" si="575"/>
        <v>4.8450000000000015</v>
      </c>
      <c r="AL382" s="12">
        <f t="shared" si="576"/>
        <v>4.8450000000000015</v>
      </c>
      <c r="AM382" s="12">
        <f t="shared" si="577"/>
        <v>0.96900000000000031</v>
      </c>
      <c r="AN382" s="12">
        <f t="shared" si="578"/>
        <v>0.96900000000000031</v>
      </c>
      <c r="AO382" s="12" t="str">
        <f t="shared" si="579"/>
        <v/>
      </c>
      <c r="AP382" s="12">
        <f t="shared" si="580"/>
        <v>1.7000000000000002</v>
      </c>
      <c r="AQ382" s="12" t="str">
        <f t="shared" si="581"/>
        <v/>
      </c>
      <c r="AR382" s="12" t="str">
        <f t="shared" si="582"/>
        <v/>
      </c>
      <c r="AS382" s="12" t="str">
        <f t="shared" si="583"/>
        <v/>
      </c>
      <c r="AT382" s="12" t="str">
        <f t="shared" si="584"/>
        <v/>
      </c>
      <c r="AU382" s="12" t="str">
        <f t="shared" si="585"/>
        <v/>
      </c>
      <c r="AV382" s="17"/>
      <c r="AX382" s="4"/>
    </row>
    <row r="383" spans="1:50" x14ac:dyDescent="0.25">
      <c r="A383" s="43" t="s">
        <v>276</v>
      </c>
      <c r="B383" s="52" t="s">
        <v>636</v>
      </c>
      <c r="C383" s="44"/>
      <c r="D383" s="43"/>
      <c r="E383" s="52" t="s">
        <v>631</v>
      </c>
      <c r="F383" s="46"/>
      <c r="G383" s="76" t="s">
        <v>802</v>
      </c>
      <c r="H383" s="48" t="s">
        <v>1104</v>
      </c>
      <c r="I383" s="48"/>
      <c r="J383" s="84" t="s">
        <v>1131</v>
      </c>
      <c r="K383" s="85"/>
      <c r="L383" s="47"/>
      <c r="M383" s="3">
        <f>1.45+0.1+0.67</f>
        <v>2.2200000000000002</v>
      </c>
      <c r="N383" s="3">
        <f t="shared" si="574"/>
        <v>2.8500000000000005</v>
      </c>
      <c r="O383" s="22">
        <v>0.15</v>
      </c>
      <c r="P383" s="23">
        <v>1</v>
      </c>
      <c r="Q383" s="3"/>
      <c r="R383" s="3"/>
      <c r="S383" s="3"/>
      <c r="T383" s="3"/>
      <c r="U383" s="3"/>
      <c r="V383" s="23"/>
      <c r="W383" s="3"/>
      <c r="X383" s="3"/>
      <c r="Y383" s="17"/>
      <c r="Z383" s="17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12">
        <f t="shared" si="575"/>
        <v>6.3270000000000017</v>
      </c>
      <c r="AL383" s="12">
        <f t="shared" si="576"/>
        <v>6.3270000000000017</v>
      </c>
      <c r="AM383" s="12">
        <f t="shared" si="577"/>
        <v>0.94905000000000017</v>
      </c>
      <c r="AN383" s="12">
        <f t="shared" si="578"/>
        <v>0.94905000000000017</v>
      </c>
      <c r="AO383" s="12" t="str">
        <f t="shared" si="579"/>
        <v/>
      </c>
      <c r="AP383" s="12">
        <f t="shared" si="580"/>
        <v>2.2200000000000002</v>
      </c>
      <c r="AQ383" s="12" t="str">
        <f t="shared" si="581"/>
        <v/>
      </c>
      <c r="AR383" s="12" t="str">
        <f t="shared" si="582"/>
        <v/>
      </c>
      <c r="AS383" s="12" t="str">
        <f t="shared" si="583"/>
        <v/>
      </c>
      <c r="AT383" s="12" t="str">
        <f t="shared" si="584"/>
        <v/>
      </c>
      <c r="AU383" s="12" t="str">
        <f t="shared" si="585"/>
        <v/>
      </c>
      <c r="AV383" s="17"/>
      <c r="AX383" s="4"/>
    </row>
    <row r="384" spans="1:50" x14ac:dyDescent="0.25">
      <c r="A384" s="43" t="s">
        <v>276</v>
      </c>
      <c r="B384" s="52" t="s">
        <v>630</v>
      </c>
      <c r="C384" s="44"/>
      <c r="D384" s="43"/>
      <c r="E384" s="52" t="s">
        <v>631</v>
      </c>
      <c r="F384" s="46"/>
      <c r="G384" s="76" t="s">
        <v>803</v>
      </c>
      <c r="H384" s="48" t="s">
        <v>1093</v>
      </c>
      <c r="I384" s="48"/>
      <c r="J384" s="84" t="s">
        <v>1131</v>
      </c>
      <c r="K384" s="85"/>
      <c r="L384" s="47"/>
      <c r="M384" s="3">
        <v>0.9</v>
      </c>
      <c r="N384" s="3">
        <f t="shared" si="574"/>
        <v>2.8500000000000005</v>
      </c>
      <c r="O384" s="22">
        <v>0.1</v>
      </c>
      <c r="P384" s="23">
        <v>1</v>
      </c>
      <c r="Q384" s="3"/>
      <c r="R384" s="3"/>
      <c r="S384" s="3"/>
      <c r="T384" s="3"/>
      <c r="U384" s="3"/>
      <c r="V384" s="23"/>
      <c r="W384" s="3"/>
      <c r="X384" s="3"/>
      <c r="Y384" s="17"/>
      <c r="Z384" s="17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12">
        <f t="shared" si="575"/>
        <v>2.5650000000000004</v>
      </c>
      <c r="AL384" s="12">
        <f t="shared" si="576"/>
        <v>2.5650000000000004</v>
      </c>
      <c r="AM384" s="12">
        <f t="shared" si="577"/>
        <v>0.25650000000000006</v>
      </c>
      <c r="AN384" s="12">
        <f t="shared" si="578"/>
        <v>0.25650000000000006</v>
      </c>
      <c r="AO384" s="12" t="str">
        <f t="shared" si="579"/>
        <v/>
      </c>
      <c r="AP384" s="12">
        <f t="shared" si="580"/>
        <v>0.9</v>
      </c>
      <c r="AQ384" s="12" t="str">
        <f t="shared" si="581"/>
        <v/>
      </c>
      <c r="AR384" s="12" t="str">
        <f t="shared" si="582"/>
        <v/>
      </c>
      <c r="AS384" s="12" t="str">
        <f t="shared" si="583"/>
        <v/>
      </c>
      <c r="AT384" s="12" t="str">
        <f t="shared" si="584"/>
        <v/>
      </c>
      <c r="AU384" s="12" t="str">
        <f t="shared" si="585"/>
        <v/>
      </c>
      <c r="AV384" s="17"/>
      <c r="AX384" s="4"/>
    </row>
    <row r="385" spans="1:50" x14ac:dyDescent="0.25">
      <c r="A385" s="43" t="s">
        <v>276</v>
      </c>
      <c r="B385" s="52" t="s">
        <v>641</v>
      </c>
      <c r="C385" s="44"/>
      <c r="D385" s="43"/>
      <c r="E385" s="52" t="s">
        <v>627</v>
      </c>
      <c r="F385" s="46"/>
      <c r="G385" s="76" t="s">
        <v>804</v>
      </c>
      <c r="H385" s="48" t="s">
        <v>1090</v>
      </c>
      <c r="I385" s="48"/>
      <c r="J385" s="84" t="s">
        <v>1131</v>
      </c>
      <c r="K385" s="85"/>
      <c r="L385" s="47" t="s">
        <v>1174</v>
      </c>
      <c r="M385" s="3">
        <v>3.8</v>
      </c>
      <c r="N385" s="3">
        <f t="shared" si="574"/>
        <v>2.8500000000000005</v>
      </c>
      <c r="O385" s="22">
        <v>0.1</v>
      </c>
      <c r="P385" s="23">
        <v>1</v>
      </c>
      <c r="Q385" s="3"/>
      <c r="R385" s="3"/>
      <c r="S385" s="3"/>
      <c r="T385" s="3"/>
      <c r="U385" s="3"/>
      <c r="V385" s="23"/>
      <c r="W385" s="3"/>
      <c r="X385" s="3"/>
      <c r="Y385" s="17"/>
      <c r="Z385" s="17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12">
        <f t="shared" si="575"/>
        <v>10.830000000000002</v>
      </c>
      <c r="AL385" s="12">
        <f t="shared" si="576"/>
        <v>10.830000000000002</v>
      </c>
      <c r="AM385" s="12">
        <f t="shared" si="577"/>
        <v>1.0830000000000002</v>
      </c>
      <c r="AN385" s="12">
        <f t="shared" si="578"/>
        <v>1.0830000000000002</v>
      </c>
      <c r="AO385" s="12" t="str">
        <f t="shared" si="579"/>
        <v/>
      </c>
      <c r="AP385" s="12">
        <f t="shared" si="580"/>
        <v>3.8</v>
      </c>
      <c r="AQ385" s="12" t="str">
        <f t="shared" si="581"/>
        <v/>
      </c>
      <c r="AR385" s="12" t="str">
        <f t="shared" si="582"/>
        <v/>
      </c>
      <c r="AS385" s="12" t="str">
        <f t="shared" si="583"/>
        <v/>
      </c>
      <c r="AT385" s="12" t="str">
        <f t="shared" si="584"/>
        <v/>
      </c>
      <c r="AU385" s="12" t="str">
        <f t="shared" si="585"/>
        <v/>
      </c>
      <c r="AV385" s="17"/>
      <c r="AX385" s="4"/>
    </row>
    <row r="386" spans="1:50" x14ac:dyDescent="0.25">
      <c r="A386" s="43" t="s">
        <v>276</v>
      </c>
      <c r="B386" s="52" t="s">
        <v>821</v>
      </c>
      <c r="C386" s="44"/>
      <c r="D386" s="43"/>
      <c r="E386" s="52" t="s">
        <v>843</v>
      </c>
      <c r="F386" s="46"/>
      <c r="G386" s="76" t="s">
        <v>805</v>
      </c>
      <c r="H386" s="48" t="s">
        <v>1104</v>
      </c>
      <c r="I386" s="48"/>
      <c r="J386" s="84" t="s">
        <v>1125</v>
      </c>
      <c r="K386" s="85"/>
      <c r="L386" s="47" t="s">
        <v>622</v>
      </c>
      <c r="M386" s="3">
        <f>2.14+2.845</f>
        <v>4.9850000000000003</v>
      </c>
      <c r="N386" s="3">
        <f t="shared" si="562"/>
        <v>2.9000000000000004</v>
      </c>
      <c r="O386" s="22">
        <v>0.155</v>
      </c>
      <c r="P386" s="23">
        <v>1</v>
      </c>
      <c r="Q386" s="3"/>
      <c r="R386" s="3"/>
      <c r="S386" s="3"/>
      <c r="T386" s="3"/>
      <c r="U386" s="3"/>
      <c r="V386" s="23"/>
      <c r="W386" s="3"/>
      <c r="X386" s="3"/>
      <c r="Y386" s="17"/>
      <c r="Z386" s="17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12">
        <f t="shared" si="575"/>
        <v>14.456500000000002</v>
      </c>
      <c r="AL386" s="12">
        <f t="shared" si="576"/>
        <v>14.456500000000002</v>
      </c>
      <c r="AM386" s="12">
        <f t="shared" si="577"/>
        <v>2.2407575000000004</v>
      </c>
      <c r="AN386" s="12">
        <f t="shared" si="578"/>
        <v>2.2407575000000004</v>
      </c>
      <c r="AO386" s="12" t="str">
        <f t="shared" si="579"/>
        <v/>
      </c>
      <c r="AP386" s="12">
        <f t="shared" si="580"/>
        <v>4.9850000000000003</v>
      </c>
      <c r="AQ386" s="12" t="str">
        <f t="shared" si="581"/>
        <v/>
      </c>
      <c r="AR386" s="12" t="str">
        <f t="shared" si="582"/>
        <v/>
      </c>
      <c r="AS386" s="12" t="str">
        <f t="shared" si="583"/>
        <v/>
      </c>
      <c r="AT386" s="12" t="str">
        <f t="shared" si="584"/>
        <v/>
      </c>
      <c r="AU386" s="12" t="str">
        <f t="shared" si="585"/>
        <v/>
      </c>
      <c r="AV386" s="17"/>
      <c r="AX386" s="4"/>
    </row>
    <row r="387" spans="1:50" x14ac:dyDescent="0.25">
      <c r="A387" s="43" t="s">
        <v>276</v>
      </c>
      <c r="B387" s="52" t="s">
        <v>843</v>
      </c>
      <c r="C387" s="44"/>
      <c r="D387" s="43"/>
      <c r="E387" s="52" t="s">
        <v>844</v>
      </c>
      <c r="F387" s="46"/>
      <c r="G387" s="76" t="s">
        <v>806</v>
      </c>
      <c r="H387" s="48" t="s">
        <v>1104</v>
      </c>
      <c r="I387" s="48"/>
      <c r="J387" s="84" t="s">
        <v>1125</v>
      </c>
      <c r="K387" s="85"/>
      <c r="L387" s="47" t="s">
        <v>622</v>
      </c>
      <c r="M387" s="3">
        <v>6.7450000000000001</v>
      </c>
      <c r="N387" s="3">
        <f t="shared" si="562"/>
        <v>2.9000000000000004</v>
      </c>
      <c r="O387" s="22">
        <v>0.155</v>
      </c>
      <c r="P387" s="23">
        <v>1</v>
      </c>
      <c r="Q387" s="3"/>
      <c r="R387" s="3"/>
      <c r="S387" s="3"/>
      <c r="T387" s="3"/>
      <c r="U387" s="3"/>
      <c r="V387" s="23"/>
      <c r="W387" s="3"/>
      <c r="X387" s="3"/>
      <c r="Y387" s="17"/>
      <c r="Z387" s="17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12">
        <f t="shared" si="575"/>
        <v>19.560500000000001</v>
      </c>
      <c r="AL387" s="12">
        <f t="shared" si="576"/>
        <v>19.560500000000001</v>
      </c>
      <c r="AM387" s="12">
        <f t="shared" si="577"/>
        <v>3.0318775000000002</v>
      </c>
      <c r="AN387" s="12">
        <f t="shared" si="578"/>
        <v>3.0318775000000002</v>
      </c>
      <c r="AO387" s="12" t="str">
        <f t="shared" si="579"/>
        <v/>
      </c>
      <c r="AP387" s="12">
        <f t="shared" si="580"/>
        <v>6.7450000000000001</v>
      </c>
      <c r="AQ387" s="12" t="str">
        <f t="shared" si="581"/>
        <v/>
      </c>
      <c r="AR387" s="12" t="str">
        <f t="shared" si="582"/>
        <v/>
      </c>
      <c r="AS387" s="12" t="str">
        <f t="shared" si="583"/>
        <v/>
      </c>
      <c r="AT387" s="12" t="str">
        <f t="shared" si="584"/>
        <v/>
      </c>
      <c r="AU387" s="12" t="str">
        <f t="shared" si="585"/>
        <v/>
      </c>
      <c r="AV387" s="17"/>
      <c r="AX387" s="4"/>
    </row>
    <row r="388" spans="1:50" x14ac:dyDescent="0.25">
      <c r="A388" s="43" t="s">
        <v>276</v>
      </c>
      <c r="B388" s="52" t="s">
        <v>844</v>
      </c>
      <c r="C388" s="44"/>
      <c r="D388" s="43"/>
      <c r="E388" s="52" t="s">
        <v>845</v>
      </c>
      <c r="F388" s="46"/>
      <c r="G388" s="76" t="s">
        <v>807</v>
      </c>
      <c r="H388" s="48" t="s">
        <v>1104</v>
      </c>
      <c r="I388" s="48"/>
      <c r="J388" s="84" t="s">
        <v>1125</v>
      </c>
      <c r="K388" s="85"/>
      <c r="L388" s="47" t="s">
        <v>622</v>
      </c>
      <c r="M388" s="3">
        <v>2.14</v>
      </c>
      <c r="N388" s="3">
        <f t="shared" si="562"/>
        <v>2.9000000000000004</v>
      </c>
      <c r="O388" s="22">
        <v>0.155</v>
      </c>
      <c r="P388" s="23">
        <v>1</v>
      </c>
      <c r="Q388" s="3"/>
      <c r="R388" s="3"/>
      <c r="S388" s="3"/>
      <c r="T388" s="3"/>
      <c r="U388" s="3"/>
      <c r="V388" s="23"/>
      <c r="W388" s="3"/>
      <c r="X388" s="3"/>
      <c r="Y388" s="17"/>
      <c r="Z388" s="17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12">
        <f t="shared" si="575"/>
        <v>6.2060000000000013</v>
      </c>
      <c r="AL388" s="12">
        <f t="shared" si="576"/>
        <v>6.2060000000000013</v>
      </c>
      <c r="AM388" s="12">
        <f t="shared" si="577"/>
        <v>0.96193000000000017</v>
      </c>
      <c r="AN388" s="12">
        <f t="shared" si="578"/>
        <v>0.96193000000000017</v>
      </c>
      <c r="AO388" s="12" t="str">
        <f t="shared" si="579"/>
        <v/>
      </c>
      <c r="AP388" s="12">
        <f t="shared" si="580"/>
        <v>2.14</v>
      </c>
      <c r="AQ388" s="12" t="str">
        <f t="shared" si="581"/>
        <v/>
      </c>
      <c r="AR388" s="12" t="str">
        <f t="shared" si="582"/>
        <v/>
      </c>
      <c r="AS388" s="12" t="str">
        <f t="shared" si="583"/>
        <v/>
      </c>
      <c r="AT388" s="12" t="str">
        <f t="shared" si="584"/>
        <v/>
      </c>
      <c r="AU388" s="12" t="str">
        <f t="shared" si="585"/>
        <v/>
      </c>
      <c r="AV388" s="17"/>
      <c r="AX388" s="4"/>
    </row>
    <row r="389" spans="1:50" x14ac:dyDescent="0.25">
      <c r="A389" s="43" t="s">
        <v>276</v>
      </c>
      <c r="B389" s="52" t="s">
        <v>846</v>
      </c>
      <c r="C389" s="44"/>
      <c r="D389" s="43"/>
      <c r="E389" s="52" t="s">
        <v>847</v>
      </c>
      <c r="F389" s="46"/>
      <c r="G389" s="76" t="s">
        <v>808</v>
      </c>
      <c r="H389" s="48" t="s">
        <v>1104</v>
      </c>
      <c r="I389" s="48"/>
      <c r="J389" s="84" t="s">
        <v>1125</v>
      </c>
      <c r="K389" s="85"/>
      <c r="L389" s="47" t="s">
        <v>622</v>
      </c>
      <c r="M389" s="3">
        <f>1.145+1.45+2.45+1.7</f>
        <v>6.7450000000000001</v>
      </c>
      <c r="N389" s="3">
        <f t="shared" si="562"/>
        <v>2.9000000000000004</v>
      </c>
      <c r="O389" s="22">
        <v>0.155</v>
      </c>
      <c r="P389" s="23">
        <v>1</v>
      </c>
      <c r="Q389" s="3"/>
      <c r="R389" s="3"/>
      <c r="S389" s="3"/>
      <c r="T389" s="3"/>
      <c r="U389" s="3"/>
      <c r="V389" s="23"/>
      <c r="W389" s="3"/>
      <c r="X389" s="3"/>
      <c r="Y389" s="17"/>
      <c r="Z389" s="17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12">
        <f t="shared" si="575"/>
        <v>19.560500000000001</v>
      </c>
      <c r="AL389" s="12">
        <f t="shared" si="576"/>
        <v>19.560500000000001</v>
      </c>
      <c r="AM389" s="12">
        <f t="shared" si="577"/>
        <v>3.0318775000000002</v>
      </c>
      <c r="AN389" s="12">
        <f t="shared" si="578"/>
        <v>3.0318775000000002</v>
      </c>
      <c r="AO389" s="12" t="str">
        <f t="shared" si="579"/>
        <v/>
      </c>
      <c r="AP389" s="12">
        <f t="shared" si="580"/>
        <v>6.7450000000000001</v>
      </c>
      <c r="AQ389" s="12" t="str">
        <f t="shared" si="581"/>
        <v/>
      </c>
      <c r="AR389" s="12" t="str">
        <f t="shared" si="582"/>
        <v/>
      </c>
      <c r="AS389" s="12" t="str">
        <f t="shared" si="583"/>
        <v/>
      </c>
      <c r="AT389" s="12" t="str">
        <f t="shared" si="584"/>
        <v/>
      </c>
      <c r="AU389" s="12" t="str">
        <f t="shared" si="585"/>
        <v/>
      </c>
      <c r="AV389" s="17"/>
      <c r="AX389" s="4"/>
    </row>
    <row r="390" spans="1:50" x14ac:dyDescent="0.25">
      <c r="A390" s="43" t="s">
        <v>276</v>
      </c>
      <c r="B390" s="52" t="s">
        <v>847</v>
      </c>
      <c r="C390" s="44"/>
      <c r="D390" s="43"/>
      <c r="E390" s="52" t="s">
        <v>848</v>
      </c>
      <c r="F390" s="46"/>
      <c r="G390" s="76" t="s">
        <v>809</v>
      </c>
      <c r="H390" s="48" t="s">
        <v>1104</v>
      </c>
      <c r="I390" s="48"/>
      <c r="J390" s="84" t="s">
        <v>1125</v>
      </c>
      <c r="K390" s="85"/>
      <c r="L390" s="47" t="s">
        <v>622</v>
      </c>
      <c r="M390" s="3">
        <v>4.9950000000000001</v>
      </c>
      <c r="N390" s="3">
        <f t="shared" si="562"/>
        <v>2.9000000000000004</v>
      </c>
      <c r="O390" s="22">
        <v>0.155</v>
      </c>
      <c r="P390" s="23">
        <v>1</v>
      </c>
      <c r="Q390" s="3"/>
      <c r="R390" s="3"/>
      <c r="S390" s="3"/>
      <c r="T390" s="3"/>
      <c r="U390" s="3"/>
      <c r="V390" s="23"/>
      <c r="W390" s="3"/>
      <c r="X390" s="3"/>
      <c r="Y390" s="17"/>
      <c r="Z390" s="17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12">
        <f t="shared" si="575"/>
        <v>14.485500000000002</v>
      </c>
      <c r="AL390" s="12">
        <f t="shared" si="576"/>
        <v>14.485500000000002</v>
      </c>
      <c r="AM390" s="12">
        <f t="shared" si="577"/>
        <v>2.2452525000000003</v>
      </c>
      <c r="AN390" s="12">
        <f t="shared" si="578"/>
        <v>2.2452525000000003</v>
      </c>
      <c r="AO390" s="12" t="str">
        <f t="shared" si="579"/>
        <v/>
      </c>
      <c r="AP390" s="12">
        <f t="shared" si="580"/>
        <v>4.9950000000000001</v>
      </c>
      <c r="AQ390" s="12" t="str">
        <f t="shared" si="581"/>
        <v/>
      </c>
      <c r="AR390" s="12" t="str">
        <f t="shared" si="582"/>
        <v/>
      </c>
      <c r="AS390" s="12" t="str">
        <f t="shared" si="583"/>
        <v/>
      </c>
      <c r="AT390" s="12" t="str">
        <f t="shared" si="584"/>
        <v/>
      </c>
      <c r="AU390" s="12" t="str">
        <f t="shared" si="585"/>
        <v/>
      </c>
      <c r="AV390" s="17"/>
      <c r="AX390" s="4"/>
    </row>
    <row r="391" spans="1:50" x14ac:dyDescent="0.25">
      <c r="A391" s="43" t="s">
        <v>276</v>
      </c>
      <c r="B391" s="52" t="s">
        <v>848</v>
      </c>
      <c r="C391" s="44"/>
      <c r="D391" s="43"/>
      <c r="E391" s="52" t="s">
        <v>692</v>
      </c>
      <c r="F391" s="46"/>
      <c r="G391" s="76" t="s">
        <v>810</v>
      </c>
      <c r="H391" s="48" t="s">
        <v>1104</v>
      </c>
      <c r="I391" s="48"/>
      <c r="J391" s="84" t="s">
        <v>1125</v>
      </c>
      <c r="K391" s="85"/>
      <c r="L391" s="47" t="s">
        <v>622</v>
      </c>
      <c r="M391" s="3">
        <f>1.145+1.45+2.45+1.7</f>
        <v>6.7450000000000001</v>
      </c>
      <c r="N391" s="3">
        <f>6.45-3.5</f>
        <v>2.95</v>
      </c>
      <c r="O391" s="22">
        <v>0.155</v>
      </c>
      <c r="P391" s="23">
        <v>1</v>
      </c>
      <c r="Q391" s="3"/>
      <c r="R391" s="3"/>
      <c r="S391" s="3"/>
      <c r="T391" s="3"/>
      <c r="U391" s="3"/>
      <c r="V391" s="23"/>
      <c r="W391" s="3"/>
      <c r="X391" s="3"/>
      <c r="Y391" s="17"/>
      <c r="Z391" s="17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12">
        <f t="shared" si="575"/>
        <v>19.897750000000002</v>
      </c>
      <c r="AL391" s="12">
        <f t="shared" si="576"/>
        <v>19.897750000000002</v>
      </c>
      <c r="AM391" s="12">
        <f t="shared" si="577"/>
        <v>3.0841512500000001</v>
      </c>
      <c r="AN391" s="12">
        <f t="shared" si="578"/>
        <v>3.0841512500000001</v>
      </c>
      <c r="AO391" s="12" t="str">
        <f t="shared" si="579"/>
        <v/>
      </c>
      <c r="AP391" s="12">
        <f t="shared" si="580"/>
        <v>6.7450000000000001</v>
      </c>
      <c r="AQ391" s="12" t="str">
        <f t="shared" si="581"/>
        <v/>
      </c>
      <c r="AR391" s="12" t="str">
        <f t="shared" si="582"/>
        <v/>
      </c>
      <c r="AS391" s="12" t="str">
        <f t="shared" si="583"/>
        <v/>
      </c>
      <c r="AT391" s="12" t="str">
        <f t="shared" si="584"/>
        <v/>
      </c>
      <c r="AU391" s="12" t="str">
        <f t="shared" si="585"/>
        <v/>
      </c>
      <c r="AV391" s="17"/>
      <c r="AX391" s="4"/>
    </row>
    <row r="392" spans="1:50" x14ac:dyDescent="0.25">
      <c r="A392" s="43" t="s">
        <v>276</v>
      </c>
      <c r="B392" s="52" t="s">
        <v>849</v>
      </c>
      <c r="C392" s="44"/>
      <c r="D392" s="43"/>
      <c r="E392" s="52" t="s">
        <v>850</v>
      </c>
      <c r="F392" s="46"/>
      <c r="G392" s="76" t="s">
        <v>811</v>
      </c>
      <c r="H392" s="48" t="s">
        <v>1104</v>
      </c>
      <c r="I392" s="48"/>
      <c r="J392" s="84" t="s">
        <v>1125</v>
      </c>
      <c r="K392" s="85"/>
      <c r="L392" s="47" t="s">
        <v>622</v>
      </c>
      <c r="M392" s="3">
        <v>4.2850000000000001</v>
      </c>
      <c r="N392" s="3">
        <f t="shared" ref="N392:N399" si="597">6.45-3.5</f>
        <v>2.95</v>
      </c>
      <c r="O392" s="22">
        <v>0.155</v>
      </c>
      <c r="P392" s="23">
        <v>1</v>
      </c>
      <c r="Q392" s="3"/>
      <c r="R392" s="3"/>
      <c r="S392" s="3"/>
      <c r="T392" s="3"/>
      <c r="U392" s="3"/>
      <c r="V392" s="23"/>
      <c r="W392" s="3"/>
      <c r="X392" s="3"/>
      <c r="Y392" s="17"/>
      <c r="Z392" s="17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12">
        <f t="shared" si="575"/>
        <v>12.640750000000001</v>
      </c>
      <c r="AL392" s="12">
        <f t="shared" si="576"/>
        <v>12.640750000000001</v>
      </c>
      <c r="AM392" s="12">
        <f t="shared" si="577"/>
        <v>1.9593162500000001</v>
      </c>
      <c r="AN392" s="12">
        <f t="shared" si="578"/>
        <v>1.9593162500000001</v>
      </c>
      <c r="AO392" s="12" t="str">
        <f t="shared" si="579"/>
        <v/>
      </c>
      <c r="AP392" s="12">
        <f t="shared" si="580"/>
        <v>4.2850000000000001</v>
      </c>
      <c r="AQ392" s="12" t="str">
        <f t="shared" si="581"/>
        <v/>
      </c>
      <c r="AR392" s="12" t="str">
        <f t="shared" si="582"/>
        <v/>
      </c>
      <c r="AS392" s="12" t="str">
        <f t="shared" si="583"/>
        <v/>
      </c>
      <c r="AT392" s="12" t="str">
        <f t="shared" si="584"/>
        <v/>
      </c>
      <c r="AU392" s="12" t="str">
        <f t="shared" si="585"/>
        <v/>
      </c>
      <c r="AV392" s="17"/>
      <c r="AX392" s="4"/>
    </row>
    <row r="393" spans="1:50" x14ac:dyDescent="0.25">
      <c r="A393" s="43" t="s">
        <v>276</v>
      </c>
      <c r="B393" s="52" t="s">
        <v>850</v>
      </c>
      <c r="C393" s="44"/>
      <c r="D393" s="43"/>
      <c r="E393" s="52" t="s">
        <v>851</v>
      </c>
      <c r="F393" s="46"/>
      <c r="G393" s="76" t="s">
        <v>812</v>
      </c>
      <c r="H393" s="48" t="s">
        <v>1104</v>
      </c>
      <c r="I393" s="48"/>
      <c r="J393" s="84" t="s">
        <v>1125</v>
      </c>
      <c r="K393" s="85"/>
      <c r="L393" s="47" t="s">
        <v>622</v>
      </c>
      <c r="M393" s="3">
        <f>4.285+0.835+1.625</f>
        <v>6.7450000000000001</v>
      </c>
      <c r="N393" s="3">
        <f t="shared" si="597"/>
        <v>2.95</v>
      </c>
      <c r="O393" s="22">
        <v>0.155</v>
      </c>
      <c r="P393" s="23">
        <v>1</v>
      </c>
      <c r="Q393" s="3"/>
      <c r="R393" s="3"/>
      <c r="S393" s="3"/>
      <c r="T393" s="3"/>
      <c r="U393" s="3"/>
      <c r="V393" s="23"/>
      <c r="W393" s="3"/>
      <c r="X393" s="3"/>
      <c r="Y393" s="17"/>
      <c r="Z393" s="17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12">
        <f t="shared" si="575"/>
        <v>19.897750000000002</v>
      </c>
      <c r="AL393" s="12">
        <f t="shared" si="576"/>
        <v>19.897750000000002</v>
      </c>
      <c r="AM393" s="12">
        <f t="shared" si="577"/>
        <v>3.0841512500000001</v>
      </c>
      <c r="AN393" s="12">
        <f t="shared" si="578"/>
        <v>3.0841512500000001</v>
      </c>
      <c r="AO393" s="12" t="str">
        <f t="shared" si="579"/>
        <v/>
      </c>
      <c r="AP393" s="12">
        <f t="shared" si="580"/>
        <v>6.7450000000000001</v>
      </c>
      <c r="AQ393" s="12" t="str">
        <f t="shared" si="581"/>
        <v/>
      </c>
      <c r="AR393" s="12" t="str">
        <f t="shared" si="582"/>
        <v/>
      </c>
      <c r="AS393" s="12" t="str">
        <f t="shared" si="583"/>
        <v/>
      </c>
      <c r="AT393" s="12" t="str">
        <f t="shared" si="584"/>
        <v/>
      </c>
      <c r="AU393" s="12" t="str">
        <f t="shared" si="585"/>
        <v/>
      </c>
      <c r="AV393" s="17"/>
      <c r="AX393" s="4"/>
    </row>
    <row r="394" spans="1:50" x14ac:dyDescent="0.25">
      <c r="A394" s="43" t="s">
        <v>276</v>
      </c>
      <c r="B394" s="52" t="s">
        <v>851</v>
      </c>
      <c r="C394" s="44"/>
      <c r="D394" s="43"/>
      <c r="E394" s="52" t="s">
        <v>852</v>
      </c>
      <c r="F394" s="46"/>
      <c r="G394" s="76" t="s">
        <v>813</v>
      </c>
      <c r="H394" s="48" t="s">
        <v>1104</v>
      </c>
      <c r="I394" s="48"/>
      <c r="J394" s="84" t="s">
        <v>1125</v>
      </c>
      <c r="K394" s="85"/>
      <c r="L394" s="47" t="s">
        <v>622</v>
      </c>
      <c r="M394" s="3">
        <v>4.9850000000000003</v>
      </c>
      <c r="N394" s="3">
        <f t="shared" si="597"/>
        <v>2.95</v>
      </c>
      <c r="O394" s="22">
        <v>0.155</v>
      </c>
      <c r="P394" s="23">
        <v>1</v>
      </c>
      <c r="Q394" s="3"/>
      <c r="R394" s="3"/>
      <c r="S394" s="3"/>
      <c r="T394" s="3"/>
      <c r="U394" s="3"/>
      <c r="V394" s="23"/>
      <c r="W394" s="3"/>
      <c r="X394" s="3"/>
      <c r="Y394" s="17"/>
      <c r="Z394" s="17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12">
        <f t="shared" si="575"/>
        <v>14.705750000000002</v>
      </c>
      <c r="AL394" s="12">
        <f t="shared" si="576"/>
        <v>14.705750000000002</v>
      </c>
      <c r="AM394" s="12">
        <f t="shared" si="577"/>
        <v>2.2793912500000002</v>
      </c>
      <c r="AN394" s="12">
        <f t="shared" si="578"/>
        <v>2.2793912500000002</v>
      </c>
      <c r="AO394" s="12" t="str">
        <f t="shared" si="579"/>
        <v/>
      </c>
      <c r="AP394" s="12">
        <f t="shared" si="580"/>
        <v>4.9850000000000003</v>
      </c>
      <c r="AQ394" s="12" t="str">
        <f t="shared" si="581"/>
        <v/>
      </c>
      <c r="AR394" s="12" t="str">
        <f t="shared" si="582"/>
        <v/>
      </c>
      <c r="AS394" s="12" t="str">
        <f t="shared" si="583"/>
        <v/>
      </c>
      <c r="AT394" s="12" t="str">
        <f t="shared" si="584"/>
        <v/>
      </c>
      <c r="AU394" s="12" t="str">
        <f t="shared" si="585"/>
        <v/>
      </c>
      <c r="AV394" s="17"/>
      <c r="AX394" s="4"/>
    </row>
    <row r="395" spans="1:50" x14ac:dyDescent="0.25">
      <c r="A395" s="43" t="s">
        <v>276</v>
      </c>
      <c r="B395" s="52" t="s">
        <v>852</v>
      </c>
      <c r="C395" s="44"/>
      <c r="D395" s="43"/>
      <c r="E395" s="52" t="s">
        <v>853</v>
      </c>
      <c r="F395" s="46"/>
      <c r="G395" s="76" t="s">
        <v>814</v>
      </c>
      <c r="H395" s="48" t="s">
        <v>1104</v>
      </c>
      <c r="I395" s="48"/>
      <c r="J395" s="84" t="s">
        <v>1125</v>
      </c>
      <c r="K395" s="85"/>
      <c r="L395" s="47" t="s">
        <v>622</v>
      </c>
      <c r="M395" s="3">
        <f>4.985+0.985+0.775</f>
        <v>6.745000000000001</v>
      </c>
      <c r="N395" s="3">
        <f t="shared" si="597"/>
        <v>2.95</v>
      </c>
      <c r="O395" s="22">
        <v>0.155</v>
      </c>
      <c r="P395" s="23">
        <v>1</v>
      </c>
      <c r="Q395" s="3"/>
      <c r="R395" s="3"/>
      <c r="S395" s="3"/>
      <c r="T395" s="3"/>
      <c r="U395" s="3"/>
      <c r="V395" s="23"/>
      <c r="W395" s="3"/>
      <c r="X395" s="3"/>
      <c r="Y395" s="17"/>
      <c r="Z395" s="17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12">
        <f t="shared" si="575"/>
        <v>19.897750000000006</v>
      </c>
      <c r="AL395" s="12">
        <f t="shared" si="576"/>
        <v>19.897750000000006</v>
      </c>
      <c r="AM395" s="12">
        <f t="shared" si="577"/>
        <v>3.084151250000001</v>
      </c>
      <c r="AN395" s="12">
        <f t="shared" si="578"/>
        <v>3.084151250000001</v>
      </c>
      <c r="AO395" s="12" t="str">
        <f t="shared" si="579"/>
        <v/>
      </c>
      <c r="AP395" s="12">
        <f t="shared" si="580"/>
        <v>6.745000000000001</v>
      </c>
      <c r="AQ395" s="12" t="str">
        <f t="shared" si="581"/>
        <v/>
      </c>
      <c r="AR395" s="12" t="str">
        <f t="shared" si="582"/>
        <v/>
      </c>
      <c r="AS395" s="12" t="str">
        <f t="shared" si="583"/>
        <v/>
      </c>
      <c r="AT395" s="12" t="str">
        <f t="shared" si="584"/>
        <v/>
      </c>
      <c r="AU395" s="12" t="str">
        <f t="shared" si="585"/>
        <v/>
      </c>
      <c r="AV395" s="17"/>
      <c r="AX395" s="4"/>
    </row>
    <row r="396" spans="1:50" x14ac:dyDescent="0.25">
      <c r="A396" s="43" t="s">
        <v>276</v>
      </c>
      <c r="B396" s="52" t="s">
        <v>853</v>
      </c>
      <c r="C396" s="44"/>
      <c r="D396" s="43"/>
      <c r="E396" s="52" t="s">
        <v>855</v>
      </c>
      <c r="F396" s="46"/>
      <c r="G396" s="76" t="s">
        <v>815</v>
      </c>
      <c r="H396" s="48" t="s">
        <v>1104</v>
      </c>
      <c r="I396" s="48"/>
      <c r="J396" s="84" t="s">
        <v>1125</v>
      </c>
      <c r="K396" s="85"/>
      <c r="L396" s="47" t="s">
        <v>622</v>
      </c>
      <c r="M396" s="3">
        <v>4.9850000000000003</v>
      </c>
      <c r="N396" s="3">
        <f t="shared" si="597"/>
        <v>2.95</v>
      </c>
      <c r="O396" s="22">
        <v>0.155</v>
      </c>
      <c r="P396" s="23">
        <v>1</v>
      </c>
      <c r="Q396" s="3"/>
      <c r="R396" s="3"/>
      <c r="S396" s="3"/>
      <c r="T396" s="3"/>
      <c r="U396" s="3"/>
      <c r="V396" s="23"/>
      <c r="W396" s="3"/>
      <c r="X396" s="3"/>
      <c r="Y396" s="17"/>
      <c r="Z396" s="17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12">
        <f t="shared" si="575"/>
        <v>14.705750000000002</v>
      </c>
      <c r="AL396" s="12">
        <f t="shared" si="576"/>
        <v>14.705750000000002</v>
      </c>
      <c r="AM396" s="12">
        <f t="shared" si="577"/>
        <v>2.2793912500000002</v>
      </c>
      <c r="AN396" s="12">
        <f t="shared" si="578"/>
        <v>2.2793912500000002</v>
      </c>
      <c r="AO396" s="12" t="str">
        <f t="shared" si="579"/>
        <v/>
      </c>
      <c r="AP396" s="12">
        <f t="shared" si="580"/>
        <v>4.9850000000000003</v>
      </c>
      <c r="AQ396" s="12" t="str">
        <f t="shared" si="581"/>
        <v/>
      </c>
      <c r="AR396" s="12" t="str">
        <f t="shared" si="582"/>
        <v/>
      </c>
      <c r="AS396" s="12" t="str">
        <f t="shared" si="583"/>
        <v/>
      </c>
      <c r="AT396" s="12" t="str">
        <f t="shared" si="584"/>
        <v/>
      </c>
      <c r="AU396" s="12" t="str">
        <f t="shared" si="585"/>
        <v/>
      </c>
      <c r="AV396" s="17"/>
      <c r="AX396" s="4"/>
    </row>
    <row r="397" spans="1:50" x14ac:dyDescent="0.25">
      <c r="A397" s="43" t="s">
        <v>276</v>
      </c>
      <c r="B397" s="52" t="s">
        <v>855</v>
      </c>
      <c r="C397" s="44"/>
      <c r="D397" s="43"/>
      <c r="E397" s="52" t="s">
        <v>856</v>
      </c>
      <c r="F397" s="46"/>
      <c r="G397" s="76" t="s">
        <v>816</v>
      </c>
      <c r="H397" s="48" t="s">
        <v>1104</v>
      </c>
      <c r="I397" s="48"/>
      <c r="J397" s="84" t="s">
        <v>1125</v>
      </c>
      <c r="K397" s="85"/>
      <c r="L397" s="47" t="s">
        <v>622</v>
      </c>
      <c r="M397" s="3">
        <v>4.9850000000000003</v>
      </c>
      <c r="N397" s="3">
        <f t="shared" si="597"/>
        <v>2.95</v>
      </c>
      <c r="O397" s="22">
        <v>0.155</v>
      </c>
      <c r="P397" s="23">
        <v>1</v>
      </c>
      <c r="Q397" s="3"/>
      <c r="R397" s="3"/>
      <c r="S397" s="3"/>
      <c r="T397" s="3"/>
      <c r="U397" s="3"/>
      <c r="V397" s="23"/>
      <c r="W397" s="3"/>
      <c r="X397" s="3"/>
      <c r="Y397" s="17"/>
      <c r="Z397" s="17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12">
        <f t="shared" si="575"/>
        <v>14.705750000000002</v>
      </c>
      <c r="AL397" s="12">
        <f t="shared" si="576"/>
        <v>14.705750000000002</v>
      </c>
      <c r="AM397" s="12">
        <f t="shared" si="577"/>
        <v>2.2793912500000002</v>
      </c>
      <c r="AN397" s="12">
        <f t="shared" si="578"/>
        <v>2.2793912500000002</v>
      </c>
      <c r="AO397" s="12" t="str">
        <f t="shared" si="579"/>
        <v/>
      </c>
      <c r="AP397" s="12">
        <f t="shared" si="580"/>
        <v>4.9850000000000003</v>
      </c>
      <c r="AQ397" s="12" t="str">
        <f t="shared" si="581"/>
        <v/>
      </c>
      <c r="AR397" s="12" t="str">
        <f t="shared" si="582"/>
        <v/>
      </c>
      <c r="AS397" s="12" t="str">
        <f t="shared" si="583"/>
        <v/>
      </c>
      <c r="AT397" s="12" t="str">
        <f t="shared" si="584"/>
        <v/>
      </c>
      <c r="AU397" s="12" t="str">
        <f t="shared" si="585"/>
        <v/>
      </c>
      <c r="AV397" s="17"/>
      <c r="AX397" s="4"/>
    </row>
    <row r="398" spans="1:50" x14ac:dyDescent="0.25">
      <c r="A398" s="43" t="s">
        <v>276</v>
      </c>
      <c r="B398" s="52" t="s">
        <v>856</v>
      </c>
      <c r="C398" s="44"/>
      <c r="D398" s="43"/>
      <c r="E398" s="52" t="s">
        <v>692</v>
      </c>
      <c r="F398" s="46"/>
      <c r="G398" s="76" t="s">
        <v>817</v>
      </c>
      <c r="H398" s="48" t="s">
        <v>1104</v>
      </c>
      <c r="I398" s="48"/>
      <c r="J398" s="84" t="s">
        <v>1125</v>
      </c>
      <c r="K398" s="85"/>
      <c r="L398" s="47" t="s">
        <v>622</v>
      </c>
      <c r="M398" s="3">
        <f>4.985+1.76</f>
        <v>6.7450000000000001</v>
      </c>
      <c r="N398" s="3">
        <f t="shared" si="597"/>
        <v>2.95</v>
      </c>
      <c r="O398" s="22">
        <v>0.155</v>
      </c>
      <c r="P398" s="23">
        <v>1</v>
      </c>
      <c r="Q398" s="3"/>
      <c r="R398" s="3"/>
      <c r="S398" s="3"/>
      <c r="T398" s="3"/>
      <c r="U398" s="3"/>
      <c r="V398" s="23"/>
      <c r="W398" s="3"/>
      <c r="X398" s="3"/>
      <c r="Y398" s="17"/>
      <c r="Z398" s="17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12">
        <f t="shared" si="575"/>
        <v>19.897750000000002</v>
      </c>
      <c r="AL398" s="12">
        <f t="shared" si="576"/>
        <v>19.897750000000002</v>
      </c>
      <c r="AM398" s="12">
        <f t="shared" si="577"/>
        <v>3.0841512500000001</v>
      </c>
      <c r="AN398" s="12">
        <f t="shared" si="578"/>
        <v>3.0841512500000001</v>
      </c>
      <c r="AO398" s="12" t="str">
        <f t="shared" si="579"/>
        <v/>
      </c>
      <c r="AP398" s="12">
        <f t="shared" si="580"/>
        <v>6.7450000000000001</v>
      </c>
      <c r="AQ398" s="12" t="str">
        <f t="shared" si="581"/>
        <v/>
      </c>
      <c r="AR398" s="12" t="str">
        <f t="shared" si="582"/>
        <v/>
      </c>
      <c r="AS398" s="12" t="str">
        <f t="shared" si="583"/>
        <v/>
      </c>
      <c r="AT398" s="12" t="str">
        <f t="shared" si="584"/>
        <v/>
      </c>
      <c r="AU398" s="12" t="str">
        <f t="shared" si="585"/>
        <v/>
      </c>
      <c r="AV398" s="17"/>
      <c r="AX398" s="4"/>
    </row>
    <row r="399" spans="1:50" x14ac:dyDescent="0.25">
      <c r="A399" s="43" t="s">
        <v>276</v>
      </c>
      <c r="B399" s="52" t="s">
        <v>632</v>
      </c>
      <c r="C399" s="44"/>
      <c r="D399" s="43"/>
      <c r="E399" s="52" t="s">
        <v>638</v>
      </c>
      <c r="F399" s="46"/>
      <c r="G399" s="76" t="s">
        <v>818</v>
      </c>
      <c r="H399" s="48" t="s">
        <v>1104</v>
      </c>
      <c r="I399" s="48"/>
      <c r="J399" s="84" t="s">
        <v>1125</v>
      </c>
      <c r="K399" s="85"/>
      <c r="L399" s="47" t="s">
        <v>622</v>
      </c>
      <c r="M399" s="3">
        <v>3.99</v>
      </c>
      <c r="N399" s="3">
        <f t="shared" si="597"/>
        <v>2.95</v>
      </c>
      <c r="O399" s="22">
        <v>0.155</v>
      </c>
      <c r="P399" s="23">
        <v>1</v>
      </c>
      <c r="Q399" s="3"/>
      <c r="R399" s="3"/>
      <c r="S399" s="3"/>
      <c r="T399" s="3"/>
      <c r="U399" s="3"/>
      <c r="V399" s="23"/>
      <c r="W399" s="3"/>
      <c r="X399" s="3"/>
      <c r="Y399" s="17"/>
      <c r="Z399" s="17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12">
        <f t="shared" si="575"/>
        <v>11.770500000000002</v>
      </c>
      <c r="AL399" s="12">
        <f t="shared" si="576"/>
        <v>11.770500000000002</v>
      </c>
      <c r="AM399" s="12">
        <f t="shared" si="577"/>
        <v>1.8244275000000003</v>
      </c>
      <c r="AN399" s="12">
        <f t="shared" si="578"/>
        <v>1.8244275000000003</v>
      </c>
      <c r="AO399" s="12" t="str">
        <f t="shared" si="579"/>
        <v/>
      </c>
      <c r="AP399" s="12">
        <f t="shared" si="580"/>
        <v>3.99</v>
      </c>
      <c r="AQ399" s="12" t="str">
        <f t="shared" si="581"/>
        <v/>
      </c>
      <c r="AR399" s="12" t="str">
        <f t="shared" si="582"/>
        <v/>
      </c>
      <c r="AS399" s="12" t="str">
        <f t="shared" si="583"/>
        <v/>
      </c>
      <c r="AT399" s="12" t="str">
        <f t="shared" si="584"/>
        <v/>
      </c>
      <c r="AU399" s="12" t="str">
        <f t="shared" si="585"/>
        <v/>
      </c>
      <c r="AV399" s="17"/>
      <c r="AX399" s="4"/>
    </row>
    <row r="400" spans="1:50" x14ac:dyDescent="0.25">
      <c r="A400" s="43" t="s">
        <v>276</v>
      </c>
      <c r="B400" s="52" t="s">
        <v>821</v>
      </c>
      <c r="C400" s="44"/>
      <c r="D400" s="43"/>
      <c r="E400" s="52" t="s">
        <v>692</v>
      </c>
      <c r="F400" s="46"/>
      <c r="G400" s="76" t="s">
        <v>819</v>
      </c>
      <c r="H400" s="48" t="s">
        <v>1104</v>
      </c>
      <c r="I400" s="48"/>
      <c r="J400" s="84" t="s">
        <v>1125</v>
      </c>
      <c r="K400" s="85"/>
      <c r="L400" s="47" t="s">
        <v>622</v>
      </c>
      <c r="M400" s="3">
        <f>2.12-0.26</f>
        <v>1.86</v>
      </c>
      <c r="N400" s="3">
        <f t="shared" si="562"/>
        <v>2.9000000000000004</v>
      </c>
      <c r="O400" s="22">
        <v>0.155</v>
      </c>
      <c r="P400" s="23">
        <v>1</v>
      </c>
      <c r="Q400" s="3"/>
      <c r="R400" s="3">
        <f>1.2*2.17</f>
        <v>2.6039999999999996</v>
      </c>
      <c r="S400" s="3"/>
      <c r="T400" s="3"/>
      <c r="U400" s="3"/>
      <c r="V400" s="23"/>
      <c r="W400" s="3"/>
      <c r="X400" s="3"/>
      <c r="Y400" s="17"/>
      <c r="Z400" s="17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12">
        <f t="shared" si="575"/>
        <v>2.7900000000000014</v>
      </c>
      <c r="AL400" s="12">
        <f t="shared" si="576"/>
        <v>2.7900000000000014</v>
      </c>
      <c r="AM400" s="12">
        <f t="shared" si="577"/>
        <v>0.43245000000000022</v>
      </c>
      <c r="AN400" s="12">
        <f t="shared" si="578"/>
        <v>0.43245000000000022</v>
      </c>
      <c r="AO400" s="12" t="str">
        <f t="shared" si="579"/>
        <v/>
      </c>
      <c r="AP400" s="12">
        <f t="shared" si="580"/>
        <v>1.86</v>
      </c>
      <c r="AQ400" s="12" t="str">
        <f t="shared" si="581"/>
        <v/>
      </c>
      <c r="AR400" s="12" t="str">
        <f t="shared" si="582"/>
        <v/>
      </c>
      <c r="AS400" s="12" t="str">
        <f t="shared" si="583"/>
        <v/>
      </c>
      <c r="AT400" s="12" t="str">
        <f t="shared" si="584"/>
        <v/>
      </c>
      <c r="AU400" s="12" t="str">
        <f t="shared" si="585"/>
        <v/>
      </c>
      <c r="AV400" s="17"/>
      <c r="AX400" s="4"/>
    </row>
    <row r="401" spans="1:50" x14ac:dyDescent="0.25">
      <c r="A401" s="43" t="s">
        <v>276</v>
      </c>
      <c r="B401" s="52" t="s">
        <v>857</v>
      </c>
      <c r="C401" s="44"/>
      <c r="D401" s="43"/>
      <c r="E401" s="52" t="s">
        <v>692</v>
      </c>
      <c r="F401" s="46"/>
      <c r="G401" s="76" t="s">
        <v>823</v>
      </c>
      <c r="H401" s="48" t="s">
        <v>1104</v>
      </c>
      <c r="I401" s="48"/>
      <c r="J401" s="84" t="s">
        <v>1125</v>
      </c>
      <c r="K401" s="85"/>
      <c r="L401" s="47" t="s">
        <v>622</v>
      </c>
      <c r="M401" s="3">
        <f>3.91</f>
        <v>3.91</v>
      </c>
      <c r="N401" s="3">
        <f t="shared" si="562"/>
        <v>2.9000000000000004</v>
      </c>
      <c r="O401" s="22">
        <v>0.155</v>
      </c>
      <c r="P401" s="23">
        <v>1</v>
      </c>
      <c r="Q401" s="3"/>
      <c r="R401" s="3">
        <f>1.2*2.17*2</f>
        <v>5.2079999999999993</v>
      </c>
      <c r="S401" s="3"/>
      <c r="T401" s="3"/>
      <c r="U401" s="3"/>
      <c r="V401" s="23"/>
      <c r="W401" s="3"/>
      <c r="X401" s="3"/>
      <c r="Y401" s="17"/>
      <c r="Z401" s="17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12">
        <f t="shared" si="575"/>
        <v>6.1310000000000029</v>
      </c>
      <c r="AL401" s="12">
        <f t="shared" si="576"/>
        <v>6.1310000000000029</v>
      </c>
      <c r="AM401" s="12">
        <f t="shared" si="577"/>
        <v>0.9503050000000004</v>
      </c>
      <c r="AN401" s="12">
        <f t="shared" si="578"/>
        <v>0.9503050000000004</v>
      </c>
      <c r="AO401" s="12" t="str">
        <f t="shared" si="579"/>
        <v/>
      </c>
      <c r="AP401" s="12">
        <f t="shared" si="580"/>
        <v>3.91</v>
      </c>
      <c r="AQ401" s="12" t="str">
        <f t="shared" si="581"/>
        <v/>
      </c>
      <c r="AR401" s="12" t="str">
        <f t="shared" si="582"/>
        <v/>
      </c>
      <c r="AS401" s="12" t="str">
        <f t="shared" si="583"/>
        <v/>
      </c>
      <c r="AT401" s="12" t="str">
        <f t="shared" si="584"/>
        <v/>
      </c>
      <c r="AU401" s="12" t="str">
        <f t="shared" si="585"/>
        <v/>
      </c>
      <c r="AV401" s="17"/>
      <c r="AX401" s="4"/>
    </row>
    <row r="402" spans="1:50" x14ac:dyDescent="0.25">
      <c r="A402" s="43" t="s">
        <v>276</v>
      </c>
      <c r="B402" s="52" t="s">
        <v>858</v>
      </c>
      <c r="C402" s="44"/>
      <c r="D402" s="43"/>
      <c r="E402" s="52" t="s">
        <v>692</v>
      </c>
      <c r="F402" s="46"/>
      <c r="G402" s="76" t="s">
        <v>824</v>
      </c>
      <c r="H402" s="48" t="s">
        <v>1093</v>
      </c>
      <c r="I402" s="48"/>
      <c r="J402" s="84" t="s">
        <v>1125</v>
      </c>
      <c r="K402" s="85"/>
      <c r="L402" s="47" t="s">
        <v>622</v>
      </c>
      <c r="M402" s="3">
        <v>2.4</v>
      </c>
      <c r="N402" s="3">
        <f t="shared" si="562"/>
        <v>2.9000000000000004</v>
      </c>
      <c r="O402" s="22">
        <v>0.1</v>
      </c>
      <c r="P402" s="23">
        <v>1</v>
      </c>
      <c r="Q402" s="3"/>
      <c r="R402" s="3">
        <f>1.4*2.7</f>
        <v>3.78</v>
      </c>
      <c r="S402" s="3"/>
      <c r="T402" s="3"/>
      <c r="U402" s="3"/>
      <c r="V402" s="23"/>
      <c r="W402" s="3"/>
      <c r="X402" s="3"/>
      <c r="Y402" s="17"/>
      <c r="Z402" s="17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12">
        <f t="shared" si="575"/>
        <v>3.180000000000001</v>
      </c>
      <c r="AL402" s="12">
        <f t="shared" si="576"/>
        <v>3.180000000000001</v>
      </c>
      <c r="AM402" s="12">
        <f t="shared" si="577"/>
        <v>0.31800000000000012</v>
      </c>
      <c r="AN402" s="12">
        <f t="shared" si="578"/>
        <v>0.31800000000000012</v>
      </c>
      <c r="AO402" s="12" t="str">
        <f t="shared" si="579"/>
        <v/>
      </c>
      <c r="AP402" s="12">
        <f t="shared" si="580"/>
        <v>2.4</v>
      </c>
      <c r="AQ402" s="12" t="str">
        <f t="shared" si="581"/>
        <v/>
      </c>
      <c r="AR402" s="12" t="str">
        <f t="shared" si="582"/>
        <v/>
      </c>
      <c r="AS402" s="12" t="str">
        <f t="shared" si="583"/>
        <v/>
      </c>
      <c r="AT402" s="12" t="str">
        <f t="shared" si="584"/>
        <v/>
      </c>
      <c r="AU402" s="12" t="str">
        <f t="shared" si="585"/>
        <v/>
      </c>
      <c r="AV402" s="17"/>
      <c r="AX402" s="4"/>
    </row>
    <row r="403" spans="1:50" x14ac:dyDescent="0.25">
      <c r="A403" s="43" t="s">
        <v>276</v>
      </c>
      <c r="B403" s="52" t="s">
        <v>845</v>
      </c>
      <c r="C403" s="44"/>
      <c r="D403" s="43"/>
      <c r="E403" s="52" t="s">
        <v>692</v>
      </c>
      <c r="F403" s="46"/>
      <c r="G403" s="76" t="s">
        <v>825</v>
      </c>
      <c r="H403" s="48" t="s">
        <v>1104</v>
      </c>
      <c r="I403" s="48"/>
      <c r="J403" s="84" t="s">
        <v>1125</v>
      </c>
      <c r="K403" s="85"/>
      <c r="L403" s="47" t="s">
        <v>622</v>
      </c>
      <c r="M403" s="3">
        <f>1.7</f>
        <v>1.7</v>
      </c>
      <c r="N403" s="3">
        <f t="shared" si="562"/>
        <v>2.9000000000000004</v>
      </c>
      <c r="O403" s="22">
        <v>0.155</v>
      </c>
      <c r="P403" s="23">
        <v>1</v>
      </c>
      <c r="Q403" s="3"/>
      <c r="R403" s="3">
        <f>1.2*2.17</f>
        <v>2.6039999999999996</v>
      </c>
      <c r="S403" s="3"/>
      <c r="T403" s="3"/>
      <c r="U403" s="3"/>
      <c r="V403" s="23"/>
      <c r="W403" s="3"/>
      <c r="X403" s="3"/>
      <c r="Y403" s="17"/>
      <c r="Z403" s="17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12">
        <f t="shared" si="575"/>
        <v>2.326000000000001</v>
      </c>
      <c r="AL403" s="12">
        <f t="shared" si="576"/>
        <v>2.326000000000001</v>
      </c>
      <c r="AM403" s="12">
        <f t="shared" si="577"/>
        <v>0.36053000000000013</v>
      </c>
      <c r="AN403" s="12">
        <f t="shared" si="578"/>
        <v>0.36053000000000013</v>
      </c>
      <c r="AO403" s="12" t="str">
        <f t="shared" si="579"/>
        <v/>
      </c>
      <c r="AP403" s="12">
        <f t="shared" si="580"/>
        <v>1.7</v>
      </c>
      <c r="AQ403" s="12" t="str">
        <f t="shared" si="581"/>
        <v/>
      </c>
      <c r="AR403" s="12" t="str">
        <f t="shared" si="582"/>
        <v/>
      </c>
      <c r="AS403" s="12" t="str">
        <f t="shared" si="583"/>
        <v/>
      </c>
      <c r="AT403" s="12" t="str">
        <f t="shared" si="584"/>
        <v/>
      </c>
      <c r="AU403" s="12" t="str">
        <f t="shared" si="585"/>
        <v/>
      </c>
      <c r="AV403" s="17"/>
      <c r="AX403" s="4"/>
    </row>
    <row r="404" spans="1:50" x14ac:dyDescent="0.25">
      <c r="A404" s="43" t="s">
        <v>276</v>
      </c>
      <c r="B404" s="52" t="s">
        <v>859</v>
      </c>
      <c r="C404" s="44"/>
      <c r="D404" s="43"/>
      <c r="E404" s="52" t="s">
        <v>692</v>
      </c>
      <c r="F404" s="46"/>
      <c r="G404" s="76" t="s">
        <v>826</v>
      </c>
      <c r="H404" s="48" t="s">
        <v>1104</v>
      </c>
      <c r="I404" s="48"/>
      <c r="J404" s="84" t="s">
        <v>1125</v>
      </c>
      <c r="K404" s="85"/>
      <c r="L404" s="47" t="s">
        <v>622</v>
      </c>
      <c r="M404" s="3">
        <f>1.7+1.44+0.625</f>
        <v>3.7649999999999997</v>
      </c>
      <c r="N404" s="3">
        <f t="shared" si="562"/>
        <v>2.9000000000000004</v>
      </c>
      <c r="O404" s="22">
        <v>0.155</v>
      </c>
      <c r="P404" s="23">
        <v>1</v>
      </c>
      <c r="Q404" s="3"/>
      <c r="R404" s="3">
        <f>1.2*2.17+1.65*2.7</f>
        <v>7.0589999999999993</v>
      </c>
      <c r="S404" s="3"/>
      <c r="T404" s="3"/>
      <c r="U404" s="3"/>
      <c r="V404" s="23"/>
      <c r="W404" s="3"/>
      <c r="X404" s="3"/>
      <c r="Y404" s="17"/>
      <c r="Z404" s="17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12">
        <f t="shared" si="575"/>
        <v>3.8595000000000006</v>
      </c>
      <c r="AL404" s="12">
        <f t="shared" si="576"/>
        <v>3.8595000000000006</v>
      </c>
      <c r="AM404" s="12">
        <f t="shared" si="577"/>
        <v>0.5982225000000001</v>
      </c>
      <c r="AN404" s="12">
        <f t="shared" si="578"/>
        <v>0.5982225000000001</v>
      </c>
      <c r="AO404" s="12" t="str">
        <f t="shared" si="579"/>
        <v/>
      </c>
      <c r="AP404" s="12">
        <f t="shared" si="580"/>
        <v>3.7649999999999997</v>
      </c>
      <c r="AQ404" s="12" t="str">
        <f t="shared" si="581"/>
        <v/>
      </c>
      <c r="AR404" s="12" t="str">
        <f t="shared" si="582"/>
        <v/>
      </c>
      <c r="AS404" s="12" t="str">
        <f t="shared" si="583"/>
        <v/>
      </c>
      <c r="AT404" s="12" t="str">
        <f t="shared" si="584"/>
        <v/>
      </c>
      <c r="AU404" s="12" t="str">
        <f t="shared" si="585"/>
        <v/>
      </c>
      <c r="AV404" s="17"/>
      <c r="AX404" s="4"/>
    </row>
    <row r="405" spans="1:50" x14ac:dyDescent="0.25">
      <c r="A405" s="43" t="s">
        <v>276</v>
      </c>
      <c r="B405" s="52" t="s">
        <v>848</v>
      </c>
      <c r="C405" s="44"/>
      <c r="D405" s="43"/>
      <c r="E405" s="52" t="s">
        <v>692</v>
      </c>
      <c r="F405" s="46"/>
      <c r="G405" s="76" t="s">
        <v>827</v>
      </c>
      <c r="H405" s="48" t="s">
        <v>1104</v>
      </c>
      <c r="I405" s="48"/>
      <c r="J405" s="84" t="s">
        <v>1125</v>
      </c>
      <c r="K405" s="85"/>
      <c r="L405" s="47" t="s">
        <v>622</v>
      </c>
      <c r="M405" s="3">
        <f>3.755</f>
        <v>3.7549999999999999</v>
      </c>
      <c r="N405" s="3">
        <f>6.45-3.5</f>
        <v>2.95</v>
      </c>
      <c r="O405" s="22">
        <v>0.155</v>
      </c>
      <c r="P405" s="23">
        <v>1</v>
      </c>
      <c r="Q405" s="3"/>
      <c r="R405" s="3">
        <f>1.2*2.17+1.65*2.7</f>
        <v>7.0589999999999993</v>
      </c>
      <c r="S405" s="3"/>
      <c r="T405" s="3"/>
      <c r="U405" s="3"/>
      <c r="V405" s="23"/>
      <c r="W405" s="3"/>
      <c r="X405" s="3"/>
      <c r="Y405" s="17"/>
      <c r="Z405" s="17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12">
        <f t="shared" si="575"/>
        <v>4.0182500000000019</v>
      </c>
      <c r="AL405" s="12">
        <f t="shared" si="576"/>
        <v>4.0182500000000019</v>
      </c>
      <c r="AM405" s="12">
        <f t="shared" si="577"/>
        <v>0.62282875000000026</v>
      </c>
      <c r="AN405" s="12">
        <f t="shared" si="578"/>
        <v>0.62282875000000026</v>
      </c>
      <c r="AO405" s="12" t="str">
        <f t="shared" si="579"/>
        <v/>
      </c>
      <c r="AP405" s="12">
        <f t="shared" si="580"/>
        <v>3.7549999999999999</v>
      </c>
      <c r="AQ405" s="12" t="str">
        <f t="shared" si="581"/>
        <v/>
      </c>
      <c r="AR405" s="12" t="str">
        <f t="shared" si="582"/>
        <v/>
      </c>
      <c r="AS405" s="12" t="str">
        <f t="shared" si="583"/>
        <v/>
      </c>
      <c r="AT405" s="12" t="str">
        <f t="shared" si="584"/>
        <v/>
      </c>
      <c r="AU405" s="12" t="str">
        <f t="shared" si="585"/>
        <v/>
      </c>
      <c r="AV405" s="17"/>
      <c r="AX405" s="4"/>
    </row>
    <row r="406" spans="1:50" x14ac:dyDescent="0.25">
      <c r="A406" s="43" t="s">
        <v>276</v>
      </c>
      <c r="B406" s="52" t="s">
        <v>849</v>
      </c>
      <c r="C406" s="44"/>
      <c r="D406" s="43"/>
      <c r="E406" s="52" t="s">
        <v>692</v>
      </c>
      <c r="F406" s="46"/>
      <c r="G406" s="76" t="s">
        <v>828</v>
      </c>
      <c r="H406" s="48" t="s">
        <v>1104</v>
      </c>
      <c r="I406" s="48"/>
      <c r="J406" s="84" t="s">
        <v>1125</v>
      </c>
      <c r="K406" s="85"/>
      <c r="L406" s="47" t="s">
        <v>622</v>
      </c>
      <c r="M406" s="3">
        <v>1.835</v>
      </c>
      <c r="N406" s="3">
        <f t="shared" ref="N406:N412" si="598">6.45-3.5</f>
        <v>2.95</v>
      </c>
      <c r="O406" s="22">
        <v>0.155</v>
      </c>
      <c r="P406" s="23">
        <v>1</v>
      </c>
      <c r="Q406" s="3"/>
      <c r="R406" s="3">
        <f>1.2*2.17</f>
        <v>2.6039999999999996</v>
      </c>
      <c r="S406" s="3"/>
      <c r="T406" s="3"/>
      <c r="U406" s="3"/>
      <c r="V406" s="23"/>
      <c r="W406" s="3"/>
      <c r="X406" s="3"/>
      <c r="Y406" s="17"/>
      <c r="Z406" s="17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12">
        <f t="shared" ref="AK406:AK451" si="599">IF(((M406*N406)-Q406-R406-S406+T406+U406)=0,"",((M406*N406)-Q406-R406-S406+T406+U406))</f>
        <v>2.8092500000000009</v>
      </c>
      <c r="AL406" s="12">
        <f t="shared" ref="AL406:AL451" si="600">IF(PRODUCT(P406,AK406)=0,"",P406*AK406)</f>
        <v>2.8092500000000009</v>
      </c>
      <c r="AM406" s="12">
        <f t="shared" ref="AM406:AM451" si="601">IF(PRODUCT(AK406,O406)=0,"",AK406*O406)</f>
        <v>0.43543375000000012</v>
      </c>
      <c r="AN406" s="12">
        <f t="shared" ref="AN406:AN451" si="602">IF(PRODUCT(AM406,P406)=0,"",AM406*P406)</f>
        <v>0.43543375000000012</v>
      </c>
      <c r="AO406" s="12" t="str">
        <f t="shared" ref="AO406:AO451" si="603">IF(N406*V406-W406+X406=0,"",N406*V406-W406+X406)</f>
        <v/>
      </c>
      <c r="AP406" s="12">
        <f t="shared" ref="AP406:AP451" si="604">IF(PRODUCT(M406,P406)=0,"",M406*P406)</f>
        <v>1.835</v>
      </c>
      <c r="AQ406" s="12" t="str">
        <f t="shared" ref="AQ406:AQ451" si="605">IF(AA406+AB406=0,"",AA406+AB406)</f>
        <v/>
      </c>
      <c r="AR406" s="12" t="str">
        <f t="shared" ref="AR406:AR451" si="606">IF(AC406+AD406=0,"",AC406+AD406)</f>
        <v/>
      </c>
      <c r="AS406" s="12" t="str">
        <f t="shared" ref="AS406:AS451" si="607">IF((AE406*AH406*AI406)*P406=0,"",(AE406*AH406*AI406)*P406)</f>
        <v/>
      </c>
      <c r="AT406" s="12" t="str">
        <f t="shared" ref="AT406:AT451" si="608">IF(AJ406*P406=0,"",AJ406*P406)</f>
        <v/>
      </c>
      <c r="AU406" s="12" t="str">
        <f t="shared" ref="AU406:AU451" si="609">IF(OR(H406="s1",H406="s2",H406="s3",H406="s4",H406="s4*",H406="s5",H406="s12",H406="s16"),IF(M406&gt;=4,M406,""),"")</f>
        <v/>
      </c>
      <c r="AV406" s="17"/>
      <c r="AX406" s="4"/>
    </row>
    <row r="407" spans="1:50" x14ac:dyDescent="0.25">
      <c r="A407" s="43" t="s">
        <v>276</v>
      </c>
      <c r="B407" s="52" t="s">
        <v>860</v>
      </c>
      <c r="C407" s="44"/>
      <c r="D407" s="43"/>
      <c r="E407" s="52" t="s">
        <v>692</v>
      </c>
      <c r="F407" s="46"/>
      <c r="G407" s="76" t="s">
        <v>829</v>
      </c>
      <c r="H407" s="48" t="s">
        <v>1104</v>
      </c>
      <c r="I407" s="48"/>
      <c r="J407" s="84" t="s">
        <v>1125</v>
      </c>
      <c r="K407" s="85"/>
      <c r="L407" s="47" t="s">
        <v>622</v>
      </c>
      <c r="M407" s="3">
        <f>0.68+1.26+0.155+1.265+0.625</f>
        <v>3.9849999999999994</v>
      </c>
      <c r="N407" s="3">
        <f t="shared" si="598"/>
        <v>2.95</v>
      </c>
      <c r="O407" s="22">
        <v>0.155</v>
      </c>
      <c r="P407" s="23">
        <v>1</v>
      </c>
      <c r="Q407" s="3"/>
      <c r="R407" s="3">
        <f>1.2*2.17*2</f>
        <v>5.2079999999999993</v>
      </c>
      <c r="S407" s="3"/>
      <c r="T407" s="3"/>
      <c r="U407" s="3"/>
      <c r="V407" s="23"/>
      <c r="W407" s="3"/>
      <c r="X407" s="3"/>
      <c r="Y407" s="17"/>
      <c r="Z407" s="17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12">
        <f t="shared" si="599"/>
        <v>6.5477499999999997</v>
      </c>
      <c r="AL407" s="12">
        <f t="shared" si="600"/>
        <v>6.5477499999999997</v>
      </c>
      <c r="AM407" s="12">
        <f t="shared" si="601"/>
        <v>1.0149012499999999</v>
      </c>
      <c r="AN407" s="12">
        <f t="shared" si="602"/>
        <v>1.0149012499999999</v>
      </c>
      <c r="AO407" s="12" t="str">
        <f t="shared" si="603"/>
        <v/>
      </c>
      <c r="AP407" s="12">
        <f t="shared" si="604"/>
        <v>3.9849999999999994</v>
      </c>
      <c r="AQ407" s="12" t="str">
        <f t="shared" si="605"/>
        <v/>
      </c>
      <c r="AR407" s="12" t="str">
        <f t="shared" si="606"/>
        <v/>
      </c>
      <c r="AS407" s="12" t="str">
        <f t="shared" si="607"/>
        <v/>
      </c>
      <c r="AT407" s="12" t="str">
        <f t="shared" si="608"/>
        <v/>
      </c>
      <c r="AU407" s="12" t="str">
        <f t="shared" si="609"/>
        <v/>
      </c>
      <c r="AV407" s="17"/>
      <c r="AX407" s="4"/>
    </row>
    <row r="408" spans="1:50" x14ac:dyDescent="0.25">
      <c r="A408" s="43" t="s">
        <v>276</v>
      </c>
      <c r="B408" s="52" t="s">
        <v>861</v>
      </c>
      <c r="C408" s="44"/>
      <c r="D408" s="43"/>
      <c r="E408" s="52" t="s">
        <v>692</v>
      </c>
      <c r="F408" s="46"/>
      <c r="G408" s="76" t="s">
        <v>830</v>
      </c>
      <c r="H408" s="48" t="s">
        <v>1104</v>
      </c>
      <c r="I408" s="48"/>
      <c r="J408" s="84" t="s">
        <v>1125</v>
      </c>
      <c r="K408" s="85"/>
      <c r="L408" s="47" t="s">
        <v>622</v>
      </c>
      <c r="M408" s="3">
        <f>0.68+1.26+0.155+1.26+0.68</f>
        <v>4.0349999999999993</v>
      </c>
      <c r="N408" s="3">
        <f t="shared" si="598"/>
        <v>2.95</v>
      </c>
      <c r="O408" s="22">
        <v>0.155</v>
      </c>
      <c r="P408" s="23">
        <v>1</v>
      </c>
      <c r="Q408" s="3"/>
      <c r="R408" s="3">
        <f>1.2*2.17*2</f>
        <v>5.2079999999999993</v>
      </c>
      <c r="S408" s="3"/>
      <c r="T408" s="3"/>
      <c r="U408" s="3"/>
      <c r="V408" s="23"/>
      <c r="W408" s="3"/>
      <c r="X408" s="3"/>
      <c r="Y408" s="17"/>
      <c r="Z408" s="17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12">
        <f t="shared" si="599"/>
        <v>6.6952499999999988</v>
      </c>
      <c r="AL408" s="12">
        <f t="shared" si="600"/>
        <v>6.6952499999999988</v>
      </c>
      <c r="AM408" s="12">
        <f t="shared" si="601"/>
        <v>1.0377637499999999</v>
      </c>
      <c r="AN408" s="12">
        <f t="shared" si="602"/>
        <v>1.0377637499999999</v>
      </c>
      <c r="AO408" s="12" t="str">
        <f t="shared" si="603"/>
        <v/>
      </c>
      <c r="AP408" s="12">
        <f t="shared" si="604"/>
        <v>4.0349999999999993</v>
      </c>
      <c r="AQ408" s="12" t="str">
        <f t="shared" si="605"/>
        <v/>
      </c>
      <c r="AR408" s="12" t="str">
        <f t="shared" si="606"/>
        <v/>
      </c>
      <c r="AS408" s="12" t="str">
        <f t="shared" si="607"/>
        <v/>
      </c>
      <c r="AT408" s="12" t="str">
        <f t="shared" si="608"/>
        <v/>
      </c>
      <c r="AU408" s="12" t="str">
        <f t="shared" si="609"/>
        <v/>
      </c>
      <c r="AV408" s="17"/>
      <c r="AX408" s="4"/>
    </row>
    <row r="409" spans="1:50" x14ac:dyDescent="0.25">
      <c r="A409" s="43" t="s">
        <v>276</v>
      </c>
      <c r="B409" s="52" t="s">
        <v>855</v>
      </c>
      <c r="C409" s="44"/>
      <c r="D409" s="43"/>
      <c r="E409" s="52" t="s">
        <v>692</v>
      </c>
      <c r="F409" s="46"/>
      <c r="G409" s="76" t="s">
        <v>831</v>
      </c>
      <c r="H409" s="48" t="s">
        <v>1104</v>
      </c>
      <c r="I409" s="48"/>
      <c r="J409" s="84" t="s">
        <v>1125</v>
      </c>
      <c r="K409" s="85"/>
      <c r="L409" s="47" t="s">
        <v>622</v>
      </c>
      <c r="M409" s="3">
        <f>1.26+0.68</f>
        <v>1.94</v>
      </c>
      <c r="N409" s="3">
        <f t="shared" si="598"/>
        <v>2.95</v>
      </c>
      <c r="O409" s="22">
        <v>0.155</v>
      </c>
      <c r="P409" s="23">
        <v>1</v>
      </c>
      <c r="Q409" s="3"/>
      <c r="R409" s="3">
        <f>1.2*2.17</f>
        <v>2.6039999999999996</v>
      </c>
      <c r="S409" s="3"/>
      <c r="T409" s="3"/>
      <c r="U409" s="3"/>
      <c r="V409" s="23"/>
      <c r="W409" s="3"/>
      <c r="X409" s="3"/>
      <c r="Y409" s="17"/>
      <c r="Z409" s="17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12">
        <f t="shared" si="599"/>
        <v>3.1190000000000002</v>
      </c>
      <c r="AL409" s="12">
        <f t="shared" si="600"/>
        <v>3.1190000000000002</v>
      </c>
      <c r="AM409" s="12">
        <f t="shared" si="601"/>
        <v>0.48344500000000001</v>
      </c>
      <c r="AN409" s="12">
        <f t="shared" si="602"/>
        <v>0.48344500000000001</v>
      </c>
      <c r="AO409" s="12" t="str">
        <f t="shared" si="603"/>
        <v/>
      </c>
      <c r="AP409" s="12">
        <f t="shared" si="604"/>
        <v>1.94</v>
      </c>
      <c r="AQ409" s="12" t="str">
        <f t="shared" si="605"/>
        <v/>
      </c>
      <c r="AR409" s="12" t="str">
        <f t="shared" si="606"/>
        <v/>
      </c>
      <c r="AS409" s="12" t="str">
        <f t="shared" si="607"/>
        <v/>
      </c>
      <c r="AT409" s="12" t="str">
        <f t="shared" si="608"/>
        <v/>
      </c>
      <c r="AU409" s="12" t="str">
        <f t="shared" si="609"/>
        <v/>
      </c>
      <c r="AV409" s="17"/>
      <c r="AX409" s="4"/>
    </row>
    <row r="410" spans="1:50" x14ac:dyDescent="0.25">
      <c r="A410" s="43" t="s">
        <v>276</v>
      </c>
      <c r="B410" s="52" t="s">
        <v>856</v>
      </c>
      <c r="C410" s="44"/>
      <c r="D410" s="43"/>
      <c r="E410" s="52" t="s">
        <v>692</v>
      </c>
      <c r="F410" s="46"/>
      <c r="G410" s="76" t="s">
        <v>832</v>
      </c>
      <c r="H410" s="48" t="s">
        <v>1104</v>
      </c>
      <c r="I410" s="48"/>
      <c r="J410" s="84" t="s">
        <v>1125</v>
      </c>
      <c r="K410" s="85"/>
      <c r="L410" s="47" t="s">
        <v>622</v>
      </c>
      <c r="M410" s="3">
        <f>1.7+0.155+1.175+0.73</f>
        <v>3.7600000000000002</v>
      </c>
      <c r="N410" s="3">
        <f t="shared" si="598"/>
        <v>2.95</v>
      </c>
      <c r="O410" s="22">
        <v>0.155</v>
      </c>
      <c r="P410" s="23">
        <v>1</v>
      </c>
      <c r="Q410" s="3"/>
      <c r="R410" s="3">
        <f>1.2*2.17+1.65*2.7</f>
        <v>7.0589999999999993</v>
      </c>
      <c r="S410" s="3"/>
      <c r="T410" s="3"/>
      <c r="U410" s="3"/>
      <c r="V410" s="23"/>
      <c r="W410" s="3"/>
      <c r="X410" s="3"/>
      <c r="Y410" s="17"/>
      <c r="Z410" s="17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12">
        <f t="shared" si="599"/>
        <v>4.0330000000000013</v>
      </c>
      <c r="AL410" s="12">
        <f t="shared" si="600"/>
        <v>4.0330000000000013</v>
      </c>
      <c r="AM410" s="12">
        <f t="shared" si="601"/>
        <v>0.6251150000000002</v>
      </c>
      <c r="AN410" s="12">
        <f t="shared" si="602"/>
        <v>0.6251150000000002</v>
      </c>
      <c r="AO410" s="12" t="str">
        <f t="shared" si="603"/>
        <v/>
      </c>
      <c r="AP410" s="12">
        <f t="shared" si="604"/>
        <v>3.7600000000000002</v>
      </c>
      <c r="AQ410" s="12" t="str">
        <f t="shared" si="605"/>
        <v/>
      </c>
      <c r="AR410" s="12" t="str">
        <f t="shared" si="606"/>
        <v/>
      </c>
      <c r="AS410" s="12" t="str">
        <f t="shared" si="607"/>
        <v/>
      </c>
      <c r="AT410" s="12" t="str">
        <f t="shared" si="608"/>
        <v/>
      </c>
      <c r="AU410" s="12" t="str">
        <f t="shared" si="609"/>
        <v/>
      </c>
      <c r="AV410" s="17"/>
      <c r="AX410" s="4"/>
    </row>
    <row r="411" spans="1:50" x14ac:dyDescent="0.25">
      <c r="A411" s="43" t="s">
        <v>276</v>
      </c>
      <c r="B411" s="52" t="s">
        <v>632</v>
      </c>
      <c r="C411" s="44"/>
      <c r="D411" s="43"/>
      <c r="E411" s="52" t="s">
        <v>692</v>
      </c>
      <c r="F411" s="46"/>
      <c r="G411" s="76" t="s">
        <v>833</v>
      </c>
      <c r="H411" s="48" t="s">
        <v>1104</v>
      </c>
      <c r="I411" s="48"/>
      <c r="J411" s="84" t="s">
        <v>1125</v>
      </c>
      <c r="K411" s="85"/>
      <c r="L411" s="47" t="s">
        <v>622</v>
      </c>
      <c r="M411" s="3">
        <v>2</v>
      </c>
      <c r="N411" s="3">
        <f t="shared" si="598"/>
        <v>2.95</v>
      </c>
      <c r="O411" s="22">
        <v>0.155</v>
      </c>
      <c r="P411" s="23">
        <v>1</v>
      </c>
      <c r="Q411" s="3"/>
      <c r="R411" s="3">
        <f t="shared" ref="R411:R412" si="610">1.2*2.17</f>
        <v>2.6039999999999996</v>
      </c>
      <c r="S411" s="3"/>
      <c r="T411" s="3"/>
      <c r="U411" s="3"/>
      <c r="V411" s="23"/>
      <c r="W411" s="3"/>
      <c r="X411" s="3"/>
      <c r="Y411" s="17"/>
      <c r="Z411" s="17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12">
        <f t="shared" si="599"/>
        <v>3.2960000000000007</v>
      </c>
      <c r="AL411" s="12">
        <f t="shared" si="600"/>
        <v>3.2960000000000007</v>
      </c>
      <c r="AM411" s="12">
        <f t="shared" si="601"/>
        <v>0.51088000000000011</v>
      </c>
      <c r="AN411" s="12">
        <f t="shared" si="602"/>
        <v>0.51088000000000011</v>
      </c>
      <c r="AO411" s="12" t="str">
        <f t="shared" si="603"/>
        <v/>
      </c>
      <c r="AP411" s="12">
        <f t="shared" si="604"/>
        <v>2</v>
      </c>
      <c r="AQ411" s="12" t="str">
        <f t="shared" si="605"/>
        <v/>
      </c>
      <c r="AR411" s="12" t="str">
        <f t="shared" si="606"/>
        <v/>
      </c>
      <c r="AS411" s="12" t="str">
        <f t="shared" si="607"/>
        <v/>
      </c>
      <c r="AT411" s="12" t="str">
        <f t="shared" si="608"/>
        <v/>
      </c>
      <c r="AU411" s="12" t="str">
        <f t="shared" si="609"/>
        <v/>
      </c>
      <c r="AV411" s="17"/>
      <c r="AX411" s="4"/>
    </row>
    <row r="412" spans="1:50" x14ac:dyDescent="0.25">
      <c r="A412" s="43" t="s">
        <v>276</v>
      </c>
      <c r="B412" s="52" t="s">
        <v>638</v>
      </c>
      <c r="C412" s="44"/>
      <c r="D412" s="43"/>
      <c r="E412" s="52" t="s">
        <v>692</v>
      </c>
      <c r="F412" s="46"/>
      <c r="G412" s="76" t="s">
        <v>834</v>
      </c>
      <c r="H412" s="48" t="s">
        <v>1104</v>
      </c>
      <c r="I412" s="48"/>
      <c r="J412" s="84" t="s">
        <v>1125</v>
      </c>
      <c r="K412" s="85"/>
      <c r="L412" s="47" t="s">
        <v>622</v>
      </c>
      <c r="M412" s="3">
        <v>2.125</v>
      </c>
      <c r="N412" s="3">
        <f t="shared" si="598"/>
        <v>2.95</v>
      </c>
      <c r="O412" s="22">
        <v>0.155</v>
      </c>
      <c r="P412" s="23">
        <v>1</v>
      </c>
      <c r="Q412" s="3"/>
      <c r="R412" s="3">
        <f t="shared" si="610"/>
        <v>2.6039999999999996</v>
      </c>
      <c r="S412" s="3"/>
      <c r="T412" s="3"/>
      <c r="U412" s="3"/>
      <c r="V412" s="23"/>
      <c r="W412" s="3"/>
      <c r="X412" s="3"/>
      <c r="Y412" s="17"/>
      <c r="Z412" s="17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12">
        <f t="shared" si="599"/>
        <v>3.6647500000000011</v>
      </c>
      <c r="AL412" s="12">
        <f t="shared" si="600"/>
        <v>3.6647500000000011</v>
      </c>
      <c r="AM412" s="12">
        <f t="shared" si="601"/>
        <v>0.56803625000000013</v>
      </c>
      <c r="AN412" s="12">
        <f t="shared" si="602"/>
        <v>0.56803625000000013</v>
      </c>
      <c r="AO412" s="12" t="str">
        <f t="shared" si="603"/>
        <v/>
      </c>
      <c r="AP412" s="12">
        <f t="shared" si="604"/>
        <v>2.125</v>
      </c>
      <c r="AQ412" s="12" t="str">
        <f t="shared" si="605"/>
        <v/>
      </c>
      <c r="AR412" s="12" t="str">
        <f t="shared" si="606"/>
        <v/>
      </c>
      <c r="AS412" s="12" t="str">
        <f t="shared" si="607"/>
        <v/>
      </c>
      <c r="AT412" s="12" t="str">
        <f t="shared" si="608"/>
        <v/>
      </c>
      <c r="AU412" s="12" t="str">
        <f t="shared" si="609"/>
        <v/>
      </c>
      <c r="AV412" s="17"/>
      <c r="AX412" s="4"/>
    </row>
    <row r="413" spans="1:50" x14ac:dyDescent="0.25">
      <c r="A413" s="43" t="s">
        <v>276</v>
      </c>
      <c r="B413" s="52" t="s">
        <v>875</v>
      </c>
      <c r="C413" s="44"/>
      <c r="D413" s="43"/>
      <c r="E413" s="52" t="s">
        <v>692</v>
      </c>
      <c r="F413" s="46"/>
      <c r="G413" s="76" t="s">
        <v>835</v>
      </c>
      <c r="H413" s="48" t="s">
        <v>1106</v>
      </c>
      <c r="I413" s="48"/>
      <c r="J413" s="84" t="s">
        <v>1145</v>
      </c>
      <c r="K413" s="85"/>
      <c r="L413" s="47" t="s">
        <v>622</v>
      </c>
      <c r="M413" s="3">
        <f>4.575</f>
        <v>4.5750000000000002</v>
      </c>
      <c r="N413" s="3">
        <f t="shared" si="562"/>
        <v>2.9000000000000004</v>
      </c>
      <c r="O413" s="22">
        <v>0.155</v>
      </c>
      <c r="P413" s="23">
        <v>1</v>
      </c>
      <c r="Q413" s="3"/>
      <c r="R413" s="3"/>
      <c r="S413" s="3"/>
      <c r="T413" s="3"/>
      <c r="U413" s="3"/>
      <c r="V413" s="23"/>
      <c r="W413" s="3"/>
      <c r="X413" s="3"/>
      <c r="Y413" s="17"/>
      <c r="Z413" s="17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12">
        <f t="shared" si="599"/>
        <v>13.267500000000002</v>
      </c>
      <c r="AL413" s="12">
        <f t="shared" si="600"/>
        <v>13.267500000000002</v>
      </c>
      <c r="AM413" s="12">
        <f t="shared" si="601"/>
        <v>2.0564625000000003</v>
      </c>
      <c r="AN413" s="12">
        <f t="shared" si="602"/>
        <v>2.0564625000000003</v>
      </c>
      <c r="AO413" s="12" t="str">
        <f t="shared" si="603"/>
        <v/>
      </c>
      <c r="AP413" s="12">
        <f t="shared" si="604"/>
        <v>4.5750000000000002</v>
      </c>
      <c r="AQ413" s="12" t="str">
        <f t="shared" si="605"/>
        <v/>
      </c>
      <c r="AR413" s="12" t="str">
        <f t="shared" si="606"/>
        <v/>
      </c>
      <c r="AS413" s="12" t="str">
        <f t="shared" si="607"/>
        <v/>
      </c>
      <c r="AT413" s="12" t="str">
        <f t="shared" si="608"/>
        <v/>
      </c>
      <c r="AU413" s="12" t="str">
        <f t="shared" si="609"/>
        <v/>
      </c>
      <c r="AV413" s="17"/>
      <c r="AX413" s="4"/>
    </row>
    <row r="414" spans="1:50" x14ac:dyDescent="0.25">
      <c r="A414" s="43" t="s">
        <v>276</v>
      </c>
      <c r="B414" s="52" t="s">
        <v>876</v>
      </c>
      <c r="C414" s="44"/>
      <c r="D414" s="43"/>
      <c r="E414" s="52" t="s">
        <v>692</v>
      </c>
      <c r="F414" s="46"/>
      <c r="G414" s="76" t="s">
        <v>836</v>
      </c>
      <c r="H414" s="48" t="s">
        <v>1106</v>
      </c>
      <c r="I414" s="48"/>
      <c r="J414" s="84" t="s">
        <v>1145</v>
      </c>
      <c r="K414" s="85"/>
      <c r="L414" s="47" t="s">
        <v>622</v>
      </c>
      <c r="M414" s="3">
        <f>2.1+0.155</f>
        <v>2.2549999999999999</v>
      </c>
      <c r="N414" s="3">
        <f t="shared" si="562"/>
        <v>2.9000000000000004</v>
      </c>
      <c r="O414" s="22">
        <v>0.155</v>
      </c>
      <c r="P414" s="23">
        <v>1</v>
      </c>
      <c r="Q414" s="3"/>
      <c r="R414" s="3"/>
      <c r="S414" s="3"/>
      <c r="T414" s="3"/>
      <c r="U414" s="3"/>
      <c r="V414" s="23"/>
      <c r="W414" s="3"/>
      <c r="X414" s="3"/>
      <c r="Y414" s="17"/>
      <c r="Z414" s="17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12">
        <f t="shared" si="599"/>
        <v>6.5395000000000003</v>
      </c>
      <c r="AL414" s="12">
        <f t="shared" si="600"/>
        <v>6.5395000000000003</v>
      </c>
      <c r="AM414" s="12">
        <f t="shared" si="601"/>
        <v>1.0136225000000001</v>
      </c>
      <c r="AN414" s="12">
        <f t="shared" si="602"/>
        <v>1.0136225000000001</v>
      </c>
      <c r="AO414" s="12" t="str">
        <f t="shared" si="603"/>
        <v/>
      </c>
      <c r="AP414" s="12">
        <f t="shared" si="604"/>
        <v>2.2549999999999999</v>
      </c>
      <c r="AQ414" s="12" t="str">
        <f t="shared" si="605"/>
        <v/>
      </c>
      <c r="AR414" s="12" t="str">
        <f t="shared" si="606"/>
        <v/>
      </c>
      <c r="AS414" s="12" t="str">
        <f t="shared" si="607"/>
        <v/>
      </c>
      <c r="AT414" s="12" t="str">
        <f t="shared" si="608"/>
        <v/>
      </c>
      <c r="AU414" s="12" t="str">
        <f t="shared" si="609"/>
        <v/>
      </c>
      <c r="AV414" s="17"/>
      <c r="AX414" s="4"/>
    </row>
    <row r="415" spans="1:50" x14ac:dyDescent="0.25">
      <c r="A415" s="43" t="s">
        <v>276</v>
      </c>
      <c r="B415" s="52" t="s">
        <v>877</v>
      </c>
      <c r="C415" s="44"/>
      <c r="D415" s="43"/>
      <c r="E415" s="52" t="s">
        <v>692</v>
      </c>
      <c r="F415" s="46"/>
      <c r="G415" s="76" t="s">
        <v>837</v>
      </c>
      <c r="H415" s="48" t="s">
        <v>1106</v>
      </c>
      <c r="I415" s="48"/>
      <c r="J415" s="84" t="s">
        <v>1145</v>
      </c>
      <c r="K415" s="85"/>
      <c r="L415" s="47" t="s">
        <v>622</v>
      </c>
      <c r="M415" s="3">
        <f>2.185</f>
        <v>2.1850000000000001</v>
      </c>
      <c r="N415" s="3">
        <f t="shared" si="562"/>
        <v>2.9000000000000004</v>
      </c>
      <c r="O415" s="22">
        <v>0.155</v>
      </c>
      <c r="P415" s="23">
        <v>1</v>
      </c>
      <c r="Q415" s="3"/>
      <c r="R415" s="3"/>
      <c r="S415" s="3"/>
      <c r="T415" s="3"/>
      <c r="U415" s="3"/>
      <c r="V415" s="23"/>
      <c r="W415" s="3"/>
      <c r="X415" s="3"/>
      <c r="Y415" s="17"/>
      <c r="Z415" s="17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12">
        <f t="shared" si="599"/>
        <v>6.3365000000000009</v>
      </c>
      <c r="AL415" s="12">
        <f t="shared" si="600"/>
        <v>6.3365000000000009</v>
      </c>
      <c r="AM415" s="12">
        <f t="shared" si="601"/>
        <v>0.98215750000000013</v>
      </c>
      <c r="AN415" s="12">
        <f t="shared" si="602"/>
        <v>0.98215750000000013</v>
      </c>
      <c r="AO415" s="12" t="str">
        <f t="shared" si="603"/>
        <v/>
      </c>
      <c r="AP415" s="12">
        <f t="shared" si="604"/>
        <v>2.1850000000000001</v>
      </c>
      <c r="AQ415" s="12" t="str">
        <f t="shared" si="605"/>
        <v/>
      </c>
      <c r="AR415" s="12" t="str">
        <f t="shared" si="606"/>
        <v/>
      </c>
      <c r="AS415" s="12" t="str">
        <f t="shared" si="607"/>
        <v/>
      </c>
      <c r="AT415" s="12" t="str">
        <f t="shared" si="608"/>
        <v/>
      </c>
      <c r="AU415" s="12" t="str">
        <f t="shared" si="609"/>
        <v/>
      </c>
      <c r="AV415" s="17"/>
      <c r="AX415" s="4"/>
    </row>
    <row r="416" spans="1:50" x14ac:dyDescent="0.25">
      <c r="A416" s="43" t="s">
        <v>276</v>
      </c>
      <c r="B416" s="52" t="s">
        <v>878</v>
      </c>
      <c r="C416" s="44"/>
      <c r="D416" s="43"/>
      <c r="E416" s="52" t="s">
        <v>692</v>
      </c>
      <c r="F416" s="46"/>
      <c r="G416" s="76" t="s">
        <v>838</v>
      </c>
      <c r="H416" s="48" t="s">
        <v>1106</v>
      </c>
      <c r="I416" s="48"/>
      <c r="J416" s="84" t="s">
        <v>1145</v>
      </c>
      <c r="K416" s="85"/>
      <c r="L416" s="47" t="s">
        <v>622</v>
      </c>
      <c r="M416" s="3">
        <f>4.575</f>
        <v>4.5750000000000002</v>
      </c>
      <c r="N416" s="3">
        <f t="shared" si="562"/>
        <v>2.9000000000000004</v>
      </c>
      <c r="O416" s="22">
        <v>0.155</v>
      </c>
      <c r="P416" s="23">
        <v>1</v>
      </c>
      <c r="Q416" s="3"/>
      <c r="R416" s="3"/>
      <c r="S416" s="3"/>
      <c r="T416" s="3"/>
      <c r="U416" s="3"/>
      <c r="V416" s="23"/>
      <c r="W416" s="3"/>
      <c r="X416" s="3"/>
      <c r="Y416" s="17"/>
      <c r="Z416" s="17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12">
        <f t="shared" si="599"/>
        <v>13.267500000000002</v>
      </c>
      <c r="AL416" s="12">
        <f t="shared" si="600"/>
        <v>13.267500000000002</v>
      </c>
      <c r="AM416" s="12">
        <f t="shared" si="601"/>
        <v>2.0564625000000003</v>
      </c>
      <c r="AN416" s="12">
        <f t="shared" si="602"/>
        <v>2.0564625000000003</v>
      </c>
      <c r="AO416" s="12" t="str">
        <f t="shared" si="603"/>
        <v/>
      </c>
      <c r="AP416" s="12">
        <f t="shared" si="604"/>
        <v>4.5750000000000002</v>
      </c>
      <c r="AQ416" s="12" t="str">
        <f t="shared" si="605"/>
        <v/>
      </c>
      <c r="AR416" s="12" t="str">
        <f t="shared" si="606"/>
        <v/>
      </c>
      <c r="AS416" s="12" t="str">
        <f t="shared" si="607"/>
        <v/>
      </c>
      <c r="AT416" s="12" t="str">
        <f t="shared" si="608"/>
        <v/>
      </c>
      <c r="AU416" s="12" t="str">
        <f t="shared" si="609"/>
        <v/>
      </c>
      <c r="AV416" s="17"/>
      <c r="AX416" s="4"/>
    </row>
    <row r="417" spans="1:50" x14ac:dyDescent="0.25">
      <c r="A417" s="43" t="s">
        <v>276</v>
      </c>
      <c r="B417" s="52" t="s">
        <v>879</v>
      </c>
      <c r="C417" s="44"/>
      <c r="D417" s="43"/>
      <c r="E417" s="52" t="s">
        <v>692</v>
      </c>
      <c r="F417" s="46"/>
      <c r="G417" s="76" t="s">
        <v>839</v>
      </c>
      <c r="H417" s="48" t="s">
        <v>1103</v>
      </c>
      <c r="I417" s="48"/>
      <c r="J417" s="84" t="s">
        <v>1145</v>
      </c>
      <c r="K417" s="85"/>
      <c r="L417" s="47" t="s">
        <v>622</v>
      </c>
      <c r="M417" s="3">
        <f>0.1+2.5+0.465+2.5+0.155</f>
        <v>5.72</v>
      </c>
      <c r="N417" s="3">
        <f>6.45-3.5</f>
        <v>2.95</v>
      </c>
      <c r="O417" s="22">
        <v>0.20499999999999999</v>
      </c>
      <c r="P417" s="23">
        <v>1</v>
      </c>
      <c r="Q417" s="3"/>
      <c r="R417" s="3"/>
      <c r="S417" s="3"/>
      <c r="T417" s="3"/>
      <c r="U417" s="3"/>
      <c r="V417" s="23"/>
      <c r="W417" s="3"/>
      <c r="X417" s="3"/>
      <c r="Y417" s="17"/>
      <c r="Z417" s="17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12">
        <f t="shared" si="599"/>
        <v>16.873999999999999</v>
      </c>
      <c r="AL417" s="12">
        <f t="shared" si="600"/>
        <v>16.873999999999999</v>
      </c>
      <c r="AM417" s="12">
        <f t="shared" si="601"/>
        <v>3.4591699999999994</v>
      </c>
      <c r="AN417" s="12">
        <f t="shared" si="602"/>
        <v>3.4591699999999994</v>
      </c>
      <c r="AO417" s="12" t="str">
        <f t="shared" si="603"/>
        <v/>
      </c>
      <c r="AP417" s="12">
        <f t="shared" si="604"/>
        <v>5.72</v>
      </c>
      <c r="AQ417" s="12" t="str">
        <f t="shared" si="605"/>
        <v/>
      </c>
      <c r="AR417" s="12" t="str">
        <f t="shared" si="606"/>
        <v/>
      </c>
      <c r="AS417" s="12" t="str">
        <f t="shared" si="607"/>
        <v/>
      </c>
      <c r="AT417" s="12" t="str">
        <f t="shared" si="608"/>
        <v/>
      </c>
      <c r="AU417" s="12" t="str">
        <f t="shared" si="609"/>
        <v/>
      </c>
      <c r="AV417" s="17"/>
      <c r="AX417" s="4"/>
    </row>
    <row r="418" spans="1:50" x14ac:dyDescent="0.25">
      <c r="A418" s="43" t="s">
        <v>276</v>
      </c>
      <c r="B418" s="52" t="s">
        <v>880</v>
      </c>
      <c r="C418" s="44"/>
      <c r="D418" s="43"/>
      <c r="E418" s="52" t="s">
        <v>692</v>
      </c>
      <c r="F418" s="46"/>
      <c r="G418" s="76" t="s">
        <v>840</v>
      </c>
      <c r="H418" s="48" t="s">
        <v>1104</v>
      </c>
      <c r="I418" s="48"/>
      <c r="J418" s="84" t="s">
        <v>1132</v>
      </c>
      <c r="K418" s="85"/>
      <c r="L418" s="47" t="s">
        <v>622</v>
      </c>
      <c r="M418" s="3">
        <f>2.15+0.205</f>
        <v>2.355</v>
      </c>
      <c r="N418" s="3">
        <f t="shared" ref="N418:N426" si="611">6.45-3.5</f>
        <v>2.95</v>
      </c>
      <c r="O418" s="22">
        <v>0.155</v>
      </c>
      <c r="P418" s="23">
        <v>1</v>
      </c>
      <c r="Q418" s="3"/>
      <c r="R418" s="3">
        <f>1.1*2.17</f>
        <v>2.387</v>
      </c>
      <c r="S418" s="3"/>
      <c r="T418" s="3"/>
      <c r="U418" s="3"/>
      <c r="V418" s="23"/>
      <c r="W418" s="3"/>
      <c r="X418" s="3"/>
      <c r="Y418" s="17"/>
      <c r="Z418" s="17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12">
        <f t="shared" si="599"/>
        <v>4.5602499999999999</v>
      </c>
      <c r="AL418" s="12">
        <f t="shared" si="600"/>
        <v>4.5602499999999999</v>
      </c>
      <c r="AM418" s="12">
        <f t="shared" si="601"/>
        <v>0.70683874999999996</v>
      </c>
      <c r="AN418" s="12">
        <f t="shared" si="602"/>
        <v>0.70683874999999996</v>
      </c>
      <c r="AO418" s="12" t="str">
        <f t="shared" si="603"/>
        <v/>
      </c>
      <c r="AP418" s="12">
        <f t="shared" si="604"/>
        <v>2.355</v>
      </c>
      <c r="AQ418" s="12" t="str">
        <f t="shared" si="605"/>
        <v/>
      </c>
      <c r="AR418" s="12" t="str">
        <f t="shared" si="606"/>
        <v/>
      </c>
      <c r="AS418" s="12" t="str">
        <f t="shared" si="607"/>
        <v/>
      </c>
      <c r="AT418" s="12" t="str">
        <f t="shared" si="608"/>
        <v/>
      </c>
      <c r="AU418" s="12" t="str">
        <f t="shared" si="609"/>
        <v/>
      </c>
      <c r="AV418" s="17"/>
      <c r="AX418" s="4"/>
    </row>
    <row r="419" spans="1:50" x14ac:dyDescent="0.25">
      <c r="A419" s="43" t="s">
        <v>276</v>
      </c>
      <c r="B419" s="52" t="s">
        <v>881</v>
      </c>
      <c r="C419" s="44"/>
      <c r="D419" s="43"/>
      <c r="E419" s="52" t="s">
        <v>692</v>
      </c>
      <c r="F419" s="46"/>
      <c r="G419" s="76" t="s">
        <v>841</v>
      </c>
      <c r="H419" s="48" t="s">
        <v>1106</v>
      </c>
      <c r="I419" s="48"/>
      <c r="J419" s="84" t="s">
        <v>1145</v>
      </c>
      <c r="K419" s="85"/>
      <c r="L419" s="47" t="s">
        <v>622</v>
      </c>
      <c r="M419" s="3">
        <f>4.575</f>
        <v>4.5750000000000002</v>
      </c>
      <c r="N419" s="3">
        <f t="shared" si="611"/>
        <v>2.95</v>
      </c>
      <c r="O419" s="22">
        <v>0.155</v>
      </c>
      <c r="P419" s="23">
        <v>1</v>
      </c>
      <c r="Q419" s="3"/>
      <c r="R419" s="3"/>
      <c r="S419" s="3"/>
      <c r="T419" s="3"/>
      <c r="U419" s="3"/>
      <c r="V419" s="23"/>
      <c r="W419" s="3"/>
      <c r="X419" s="3"/>
      <c r="Y419" s="17"/>
      <c r="Z419" s="17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12">
        <f t="shared" si="599"/>
        <v>13.496250000000002</v>
      </c>
      <c r="AL419" s="12">
        <f t="shared" si="600"/>
        <v>13.496250000000002</v>
      </c>
      <c r="AM419" s="12">
        <f t="shared" si="601"/>
        <v>2.09191875</v>
      </c>
      <c r="AN419" s="12">
        <f t="shared" si="602"/>
        <v>2.09191875</v>
      </c>
      <c r="AO419" s="12" t="str">
        <f t="shared" si="603"/>
        <v/>
      </c>
      <c r="AP419" s="12">
        <f t="shared" si="604"/>
        <v>4.5750000000000002</v>
      </c>
      <c r="AQ419" s="12" t="str">
        <f t="shared" si="605"/>
        <v/>
      </c>
      <c r="AR419" s="12" t="str">
        <f t="shared" si="606"/>
        <v/>
      </c>
      <c r="AS419" s="12" t="str">
        <f t="shared" si="607"/>
        <v/>
      </c>
      <c r="AT419" s="12" t="str">
        <f t="shared" si="608"/>
        <v/>
      </c>
      <c r="AU419" s="12" t="str">
        <f t="shared" si="609"/>
        <v/>
      </c>
      <c r="AV419" s="17"/>
      <c r="AX419" s="4"/>
    </row>
    <row r="420" spans="1:50" x14ac:dyDescent="0.25">
      <c r="A420" s="43" t="s">
        <v>276</v>
      </c>
      <c r="B420" s="52" t="s">
        <v>882</v>
      </c>
      <c r="C420" s="44"/>
      <c r="D420" s="43"/>
      <c r="E420" s="52" t="s">
        <v>692</v>
      </c>
      <c r="F420" s="46"/>
      <c r="G420" s="76" t="s">
        <v>842</v>
      </c>
      <c r="H420" s="48" t="s">
        <v>1106</v>
      </c>
      <c r="I420" s="48"/>
      <c r="J420" s="84" t="s">
        <v>1145</v>
      </c>
      <c r="K420" s="85"/>
      <c r="L420" s="47" t="s">
        <v>622</v>
      </c>
      <c r="M420" s="3">
        <f>4.575</f>
        <v>4.5750000000000002</v>
      </c>
      <c r="N420" s="3">
        <f t="shared" si="611"/>
        <v>2.95</v>
      </c>
      <c r="O420" s="22">
        <v>0.155</v>
      </c>
      <c r="P420" s="23">
        <v>1</v>
      </c>
      <c r="Q420" s="3"/>
      <c r="R420" s="3"/>
      <c r="S420" s="3"/>
      <c r="T420" s="3"/>
      <c r="U420" s="3"/>
      <c r="V420" s="23"/>
      <c r="W420" s="3"/>
      <c r="X420" s="3"/>
      <c r="Y420" s="17"/>
      <c r="Z420" s="17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12">
        <f t="shared" si="599"/>
        <v>13.496250000000002</v>
      </c>
      <c r="AL420" s="12">
        <f t="shared" si="600"/>
        <v>13.496250000000002</v>
      </c>
      <c r="AM420" s="12">
        <f t="shared" si="601"/>
        <v>2.09191875</v>
      </c>
      <c r="AN420" s="12">
        <f t="shared" si="602"/>
        <v>2.09191875</v>
      </c>
      <c r="AO420" s="12" t="str">
        <f t="shared" si="603"/>
        <v/>
      </c>
      <c r="AP420" s="12">
        <f t="shared" si="604"/>
        <v>4.5750000000000002</v>
      </c>
      <c r="AQ420" s="12" t="str">
        <f t="shared" si="605"/>
        <v/>
      </c>
      <c r="AR420" s="12" t="str">
        <f t="shared" si="606"/>
        <v/>
      </c>
      <c r="AS420" s="12" t="str">
        <f t="shared" si="607"/>
        <v/>
      </c>
      <c r="AT420" s="12" t="str">
        <f t="shared" si="608"/>
        <v/>
      </c>
      <c r="AU420" s="12" t="str">
        <f t="shared" si="609"/>
        <v/>
      </c>
      <c r="AV420" s="17"/>
      <c r="AX420" s="4"/>
    </row>
    <row r="421" spans="1:50" x14ac:dyDescent="0.25">
      <c r="A421" s="43" t="s">
        <v>276</v>
      </c>
      <c r="B421" s="52" t="s">
        <v>883</v>
      </c>
      <c r="C421" s="44"/>
      <c r="D421" s="43"/>
      <c r="E421" s="52" t="s">
        <v>692</v>
      </c>
      <c r="F421" s="46"/>
      <c r="G421" s="76" t="s">
        <v>862</v>
      </c>
      <c r="H421" s="48" t="s">
        <v>1106</v>
      </c>
      <c r="I421" s="48"/>
      <c r="J421" s="84" t="s">
        <v>1145</v>
      </c>
      <c r="K421" s="85"/>
      <c r="L421" s="47" t="s">
        <v>622</v>
      </c>
      <c r="M421" s="3">
        <v>2.4900000000000002</v>
      </c>
      <c r="N421" s="3">
        <f t="shared" si="611"/>
        <v>2.95</v>
      </c>
      <c r="O421" s="22">
        <v>0.155</v>
      </c>
      <c r="P421" s="23">
        <v>1</v>
      </c>
      <c r="Q421" s="3"/>
      <c r="R421" s="3"/>
      <c r="S421" s="3"/>
      <c r="T421" s="3"/>
      <c r="U421" s="3"/>
      <c r="V421" s="23"/>
      <c r="W421" s="3"/>
      <c r="X421" s="3"/>
      <c r="Y421" s="17"/>
      <c r="Z421" s="17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12">
        <f t="shared" si="599"/>
        <v>7.3455000000000013</v>
      </c>
      <c r="AL421" s="12">
        <f t="shared" si="600"/>
        <v>7.3455000000000013</v>
      </c>
      <c r="AM421" s="12">
        <f t="shared" si="601"/>
        <v>1.1385525000000001</v>
      </c>
      <c r="AN421" s="12">
        <f t="shared" si="602"/>
        <v>1.1385525000000001</v>
      </c>
      <c r="AO421" s="12" t="str">
        <f t="shared" si="603"/>
        <v/>
      </c>
      <c r="AP421" s="12">
        <f t="shared" si="604"/>
        <v>2.4900000000000002</v>
      </c>
      <c r="AQ421" s="12" t="str">
        <f t="shared" si="605"/>
        <v/>
      </c>
      <c r="AR421" s="12" t="str">
        <f t="shared" si="606"/>
        <v/>
      </c>
      <c r="AS421" s="12" t="str">
        <f t="shared" si="607"/>
        <v/>
      </c>
      <c r="AT421" s="12" t="str">
        <f t="shared" si="608"/>
        <v/>
      </c>
      <c r="AU421" s="12" t="str">
        <f t="shared" si="609"/>
        <v/>
      </c>
      <c r="AV421" s="17"/>
      <c r="AX421" s="4"/>
    </row>
    <row r="422" spans="1:50" x14ac:dyDescent="0.25">
      <c r="A422" s="43" t="s">
        <v>276</v>
      </c>
      <c r="B422" s="52" t="s">
        <v>883</v>
      </c>
      <c r="C422" s="44"/>
      <c r="D422" s="43"/>
      <c r="E422" s="52" t="s">
        <v>692</v>
      </c>
      <c r="F422" s="46"/>
      <c r="G422" s="76" t="s">
        <v>863</v>
      </c>
      <c r="H422" s="48" t="s">
        <v>1107</v>
      </c>
      <c r="I422" s="48"/>
      <c r="J422" s="84" t="s">
        <v>1145</v>
      </c>
      <c r="K422" s="85"/>
      <c r="L422" s="47" t="s">
        <v>567</v>
      </c>
      <c r="M422" s="3">
        <v>2.65</v>
      </c>
      <c r="N422" s="3">
        <f t="shared" si="611"/>
        <v>2.95</v>
      </c>
      <c r="O422" s="22">
        <v>0.38500000000000001</v>
      </c>
      <c r="P422" s="23">
        <v>1</v>
      </c>
      <c r="Q422" s="3"/>
      <c r="R422" s="3"/>
      <c r="S422" s="3"/>
      <c r="T422" s="3"/>
      <c r="U422" s="3"/>
      <c r="V422" s="23"/>
      <c r="W422" s="3"/>
      <c r="X422" s="3"/>
      <c r="Y422" s="17"/>
      <c r="Z422" s="17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12">
        <f t="shared" si="599"/>
        <v>7.8174999999999999</v>
      </c>
      <c r="AL422" s="12">
        <f t="shared" si="600"/>
        <v>7.8174999999999999</v>
      </c>
      <c r="AM422" s="12">
        <f t="shared" si="601"/>
        <v>3.0097375</v>
      </c>
      <c r="AN422" s="12">
        <f t="shared" si="602"/>
        <v>3.0097375</v>
      </c>
      <c r="AO422" s="12" t="str">
        <f t="shared" si="603"/>
        <v/>
      </c>
      <c r="AP422" s="12">
        <f t="shared" si="604"/>
        <v>2.65</v>
      </c>
      <c r="AQ422" s="12" t="str">
        <f t="shared" si="605"/>
        <v/>
      </c>
      <c r="AR422" s="12" t="str">
        <f t="shared" si="606"/>
        <v/>
      </c>
      <c r="AS422" s="12" t="str">
        <f t="shared" si="607"/>
        <v/>
      </c>
      <c r="AT422" s="12" t="str">
        <f t="shared" si="608"/>
        <v/>
      </c>
      <c r="AU422" s="12" t="str">
        <f t="shared" si="609"/>
        <v/>
      </c>
      <c r="AV422" s="17"/>
      <c r="AX422" s="4"/>
    </row>
    <row r="423" spans="1:50" x14ac:dyDescent="0.25">
      <c r="A423" s="43" t="s">
        <v>276</v>
      </c>
      <c r="B423" s="52" t="s">
        <v>883</v>
      </c>
      <c r="C423" s="44"/>
      <c r="D423" s="43"/>
      <c r="E423" s="52" t="s">
        <v>692</v>
      </c>
      <c r="F423" s="46"/>
      <c r="G423" s="76" t="s">
        <v>864</v>
      </c>
      <c r="H423" s="48" t="s">
        <v>1103</v>
      </c>
      <c r="I423" s="48"/>
      <c r="J423" s="84" t="s">
        <v>1132</v>
      </c>
      <c r="K423" s="85"/>
      <c r="L423" s="47" t="s">
        <v>622</v>
      </c>
      <c r="M423" s="3">
        <v>1.155</v>
      </c>
      <c r="N423" s="3">
        <f t="shared" si="611"/>
        <v>2.95</v>
      </c>
      <c r="O423" s="22">
        <v>0.20499999999999999</v>
      </c>
      <c r="P423" s="23">
        <v>1</v>
      </c>
      <c r="Q423" s="3"/>
      <c r="R423" s="3"/>
      <c r="S423" s="3"/>
      <c r="T423" s="3"/>
      <c r="U423" s="3"/>
      <c r="V423" s="23"/>
      <c r="W423" s="3"/>
      <c r="X423" s="3"/>
      <c r="Y423" s="17"/>
      <c r="Z423" s="17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12">
        <f t="shared" si="599"/>
        <v>3.4072500000000003</v>
      </c>
      <c r="AL423" s="12">
        <f t="shared" si="600"/>
        <v>3.4072500000000003</v>
      </c>
      <c r="AM423" s="12">
        <f t="shared" si="601"/>
        <v>0.69848624999999998</v>
      </c>
      <c r="AN423" s="12">
        <f t="shared" si="602"/>
        <v>0.69848624999999998</v>
      </c>
      <c r="AO423" s="12" t="str">
        <f t="shared" si="603"/>
        <v/>
      </c>
      <c r="AP423" s="12">
        <f t="shared" si="604"/>
        <v>1.155</v>
      </c>
      <c r="AQ423" s="12" t="str">
        <f t="shared" si="605"/>
        <v/>
      </c>
      <c r="AR423" s="12" t="str">
        <f t="shared" si="606"/>
        <v/>
      </c>
      <c r="AS423" s="12" t="str">
        <f t="shared" si="607"/>
        <v/>
      </c>
      <c r="AT423" s="12" t="str">
        <f t="shared" si="608"/>
        <v/>
      </c>
      <c r="AU423" s="12" t="str">
        <f t="shared" si="609"/>
        <v/>
      </c>
      <c r="AV423" s="17"/>
      <c r="AX423" s="4"/>
    </row>
    <row r="424" spans="1:50" x14ac:dyDescent="0.25">
      <c r="A424" s="43" t="s">
        <v>276</v>
      </c>
      <c r="B424" s="52" t="s">
        <v>884</v>
      </c>
      <c r="C424" s="44"/>
      <c r="D424" s="43"/>
      <c r="E424" s="52" t="s">
        <v>692</v>
      </c>
      <c r="F424" s="46"/>
      <c r="G424" s="76" t="s">
        <v>865</v>
      </c>
      <c r="H424" s="48" t="s">
        <v>1103</v>
      </c>
      <c r="I424" s="48"/>
      <c r="J424" s="84" t="s">
        <v>1145</v>
      </c>
      <c r="K424" s="85"/>
      <c r="L424" s="47" t="s">
        <v>622</v>
      </c>
      <c r="M424" s="3">
        <f>0.155*2+2.5*2+0.265</f>
        <v>5.5749999999999993</v>
      </c>
      <c r="N424" s="3">
        <f t="shared" si="611"/>
        <v>2.95</v>
      </c>
      <c r="O424" s="22">
        <v>0.20499999999999999</v>
      </c>
      <c r="P424" s="23">
        <v>1</v>
      </c>
      <c r="Q424" s="3"/>
      <c r="R424" s="3"/>
      <c r="S424" s="3"/>
      <c r="T424" s="3"/>
      <c r="U424" s="3"/>
      <c r="V424" s="23"/>
      <c r="W424" s="3"/>
      <c r="X424" s="3"/>
      <c r="Y424" s="17"/>
      <c r="Z424" s="17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12">
        <f t="shared" si="599"/>
        <v>16.446249999999999</v>
      </c>
      <c r="AL424" s="12">
        <f t="shared" si="600"/>
        <v>16.446249999999999</v>
      </c>
      <c r="AM424" s="12">
        <f t="shared" si="601"/>
        <v>3.3714812499999995</v>
      </c>
      <c r="AN424" s="12">
        <f t="shared" si="602"/>
        <v>3.3714812499999995</v>
      </c>
      <c r="AO424" s="12" t="str">
        <f t="shared" si="603"/>
        <v/>
      </c>
      <c r="AP424" s="12">
        <f t="shared" si="604"/>
        <v>5.5749999999999993</v>
      </c>
      <c r="AQ424" s="12" t="str">
        <f t="shared" si="605"/>
        <v/>
      </c>
      <c r="AR424" s="12" t="str">
        <f t="shared" si="606"/>
        <v/>
      </c>
      <c r="AS424" s="12" t="str">
        <f t="shared" si="607"/>
        <v/>
      </c>
      <c r="AT424" s="12" t="str">
        <f t="shared" si="608"/>
        <v/>
      </c>
      <c r="AU424" s="12" t="str">
        <f t="shared" si="609"/>
        <v/>
      </c>
      <c r="AV424" s="17"/>
      <c r="AX424" s="4"/>
    </row>
    <row r="425" spans="1:50" x14ac:dyDescent="0.25">
      <c r="A425" s="43" t="s">
        <v>276</v>
      </c>
      <c r="B425" s="52" t="s">
        <v>885</v>
      </c>
      <c r="C425" s="44"/>
      <c r="D425" s="43"/>
      <c r="E425" s="52" t="s">
        <v>692</v>
      </c>
      <c r="F425" s="46"/>
      <c r="G425" s="76" t="s">
        <v>866</v>
      </c>
      <c r="H425" s="48" t="s">
        <v>1104</v>
      </c>
      <c r="I425" s="48"/>
      <c r="J425" s="84" t="s">
        <v>1132</v>
      </c>
      <c r="K425" s="85"/>
      <c r="L425" s="47" t="s">
        <v>622</v>
      </c>
      <c r="M425" s="3">
        <f>2.15+0.205</f>
        <v>2.355</v>
      </c>
      <c r="N425" s="3">
        <f t="shared" si="611"/>
        <v>2.95</v>
      </c>
      <c r="O425" s="22">
        <v>0.155</v>
      </c>
      <c r="P425" s="23">
        <v>1</v>
      </c>
      <c r="Q425" s="3"/>
      <c r="R425" s="3">
        <f t="shared" ref="R425:R426" si="612">1.1*2.17</f>
        <v>2.387</v>
      </c>
      <c r="S425" s="3"/>
      <c r="T425" s="3"/>
      <c r="U425" s="3"/>
      <c r="V425" s="23"/>
      <c r="W425" s="3"/>
      <c r="X425" s="3"/>
      <c r="Y425" s="17"/>
      <c r="Z425" s="17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12">
        <f t="shared" si="599"/>
        <v>4.5602499999999999</v>
      </c>
      <c r="AL425" s="12">
        <f t="shared" si="600"/>
        <v>4.5602499999999999</v>
      </c>
      <c r="AM425" s="12">
        <f t="shared" si="601"/>
        <v>0.70683874999999996</v>
      </c>
      <c r="AN425" s="12">
        <f t="shared" si="602"/>
        <v>0.70683874999999996</v>
      </c>
      <c r="AO425" s="12" t="str">
        <f t="shared" si="603"/>
        <v/>
      </c>
      <c r="AP425" s="12">
        <f t="shared" si="604"/>
        <v>2.355</v>
      </c>
      <c r="AQ425" s="12" t="str">
        <f t="shared" si="605"/>
        <v/>
      </c>
      <c r="AR425" s="12" t="str">
        <f t="shared" si="606"/>
        <v/>
      </c>
      <c r="AS425" s="12" t="str">
        <f t="shared" si="607"/>
        <v/>
      </c>
      <c r="AT425" s="12" t="str">
        <f t="shared" si="608"/>
        <v/>
      </c>
      <c r="AU425" s="12" t="str">
        <f t="shared" si="609"/>
        <v/>
      </c>
      <c r="AV425" s="17"/>
      <c r="AX425" s="4"/>
    </row>
    <row r="426" spans="1:50" x14ac:dyDescent="0.25">
      <c r="A426" s="43" t="s">
        <v>276</v>
      </c>
      <c r="B426" s="52" t="s">
        <v>633</v>
      </c>
      <c r="C426" s="44"/>
      <c r="D426" s="43"/>
      <c r="E426" s="52" t="s">
        <v>692</v>
      </c>
      <c r="F426" s="46"/>
      <c r="G426" s="76" t="s">
        <v>867</v>
      </c>
      <c r="H426" s="48" t="s">
        <v>1104</v>
      </c>
      <c r="I426" s="48"/>
      <c r="J426" s="84" t="s">
        <v>1132</v>
      </c>
      <c r="K426" s="85"/>
      <c r="L426" s="47" t="s">
        <v>622</v>
      </c>
      <c r="M426" s="3">
        <f>2.15+0.205</f>
        <v>2.355</v>
      </c>
      <c r="N426" s="3">
        <f t="shared" si="611"/>
        <v>2.95</v>
      </c>
      <c r="O426" s="22">
        <v>0.155</v>
      </c>
      <c r="P426" s="23">
        <v>1</v>
      </c>
      <c r="Q426" s="3"/>
      <c r="R426" s="3">
        <f t="shared" si="612"/>
        <v>2.387</v>
      </c>
      <c r="S426" s="3"/>
      <c r="T426" s="3"/>
      <c r="U426" s="3"/>
      <c r="V426" s="23"/>
      <c r="W426" s="3"/>
      <c r="X426" s="3"/>
      <c r="Y426" s="17"/>
      <c r="Z426" s="17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12">
        <f t="shared" si="599"/>
        <v>4.5602499999999999</v>
      </c>
      <c r="AL426" s="12">
        <f t="shared" si="600"/>
        <v>4.5602499999999999</v>
      </c>
      <c r="AM426" s="12">
        <f t="shared" si="601"/>
        <v>0.70683874999999996</v>
      </c>
      <c r="AN426" s="12">
        <f t="shared" si="602"/>
        <v>0.70683874999999996</v>
      </c>
      <c r="AO426" s="12" t="str">
        <f t="shared" si="603"/>
        <v/>
      </c>
      <c r="AP426" s="12">
        <f t="shared" si="604"/>
        <v>2.355</v>
      </c>
      <c r="AQ426" s="12" t="str">
        <f t="shared" si="605"/>
        <v/>
      </c>
      <c r="AR426" s="12" t="str">
        <f t="shared" si="606"/>
        <v/>
      </c>
      <c r="AS426" s="12" t="str">
        <f t="shared" si="607"/>
        <v/>
      </c>
      <c r="AT426" s="12" t="str">
        <f t="shared" si="608"/>
        <v/>
      </c>
      <c r="AU426" s="12" t="str">
        <f t="shared" si="609"/>
        <v/>
      </c>
      <c r="AV426" s="17"/>
      <c r="AX426" s="4"/>
    </row>
    <row r="427" spans="1:50" x14ac:dyDescent="0.25">
      <c r="A427" s="43" t="s">
        <v>276</v>
      </c>
      <c r="B427" s="52" t="s">
        <v>891</v>
      </c>
      <c r="C427" s="44"/>
      <c r="D427" s="43"/>
      <c r="E427" s="52" t="s">
        <v>821</v>
      </c>
      <c r="F427" s="46"/>
      <c r="G427" s="76" t="s">
        <v>868</v>
      </c>
      <c r="H427" s="48" t="s">
        <v>1093</v>
      </c>
      <c r="I427" s="48"/>
      <c r="J427" s="84" t="s">
        <v>1132</v>
      </c>
      <c r="K427" s="85"/>
      <c r="L427" s="47"/>
      <c r="M427" s="3">
        <v>1.51</v>
      </c>
      <c r="N427" s="3">
        <f>6.45-3.55</f>
        <v>2.9000000000000004</v>
      </c>
      <c r="O427" s="22">
        <v>0.1</v>
      </c>
      <c r="P427" s="23">
        <v>1</v>
      </c>
      <c r="Q427" s="3"/>
      <c r="R427" s="3">
        <f t="shared" ref="R427:R441" si="613">1.1*2.17</f>
        <v>2.387</v>
      </c>
      <c r="S427" s="3"/>
      <c r="T427" s="3"/>
      <c r="U427" s="3"/>
      <c r="V427" s="23"/>
      <c r="W427" s="3"/>
      <c r="X427" s="3"/>
      <c r="Y427" s="17"/>
      <c r="Z427" s="17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12">
        <f t="shared" si="599"/>
        <v>1.9920000000000004</v>
      </c>
      <c r="AL427" s="12">
        <f t="shared" si="600"/>
        <v>1.9920000000000004</v>
      </c>
      <c r="AM427" s="12">
        <f t="shared" si="601"/>
        <v>0.19920000000000004</v>
      </c>
      <c r="AN427" s="12">
        <f t="shared" si="602"/>
        <v>0.19920000000000004</v>
      </c>
      <c r="AO427" s="12" t="str">
        <f t="shared" si="603"/>
        <v/>
      </c>
      <c r="AP427" s="12">
        <f t="shared" si="604"/>
        <v>1.51</v>
      </c>
      <c r="AQ427" s="12" t="str">
        <f t="shared" si="605"/>
        <v/>
      </c>
      <c r="AR427" s="12" t="str">
        <f t="shared" si="606"/>
        <v/>
      </c>
      <c r="AS427" s="12" t="str">
        <f t="shared" si="607"/>
        <v/>
      </c>
      <c r="AT427" s="12" t="str">
        <f t="shared" si="608"/>
        <v/>
      </c>
      <c r="AU427" s="12" t="str">
        <f t="shared" si="609"/>
        <v/>
      </c>
      <c r="AV427" s="17"/>
      <c r="AX427" s="4"/>
    </row>
    <row r="428" spans="1:50" x14ac:dyDescent="0.25">
      <c r="A428" s="43" t="s">
        <v>276</v>
      </c>
      <c r="B428" s="52" t="s">
        <v>1153</v>
      </c>
      <c r="C428" s="44"/>
      <c r="D428" s="43"/>
      <c r="E428" s="52"/>
      <c r="F428" s="46"/>
      <c r="G428" s="76" t="s">
        <v>1152</v>
      </c>
      <c r="H428" s="48" t="s">
        <v>1104</v>
      </c>
      <c r="I428" s="48"/>
      <c r="J428" s="84" t="s">
        <v>1132</v>
      </c>
      <c r="K428" s="85"/>
      <c r="L428" s="47"/>
      <c r="M428" s="3">
        <v>1.155</v>
      </c>
      <c r="N428" s="3">
        <f>6.45-3.55</f>
        <v>2.9000000000000004</v>
      </c>
      <c r="O428" s="22">
        <v>0.155</v>
      </c>
      <c r="P428" s="23">
        <v>4</v>
      </c>
      <c r="Q428" s="3"/>
      <c r="R428" s="3"/>
      <c r="S428" s="3"/>
      <c r="T428" s="3"/>
      <c r="U428" s="3"/>
      <c r="V428" s="23"/>
      <c r="W428" s="3"/>
      <c r="X428" s="3"/>
      <c r="Y428" s="17"/>
      <c r="Z428" s="17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12">
        <f t="shared" ref="AK428" si="614">IF(((M428*N428)-Q428-R428-S428+T428+U428)=0,"",((M428*N428)-Q428-R428-S428+T428+U428))</f>
        <v>3.3495000000000004</v>
      </c>
      <c r="AL428" s="12">
        <f t="shared" ref="AL428" si="615">IF(PRODUCT(P428,AK428)=0,"",P428*AK428)</f>
        <v>13.398000000000001</v>
      </c>
      <c r="AM428" s="12">
        <f t="shared" ref="AM428" si="616">IF(PRODUCT(AK428,O428)=0,"",AK428*O428)</f>
        <v>0.51917250000000004</v>
      </c>
      <c r="AN428" s="12">
        <f t="shared" ref="AN428" si="617">IF(PRODUCT(AM428,P428)=0,"",AM428*P428)</f>
        <v>2.0766900000000001</v>
      </c>
      <c r="AO428" s="12" t="str">
        <f t="shared" ref="AO428" si="618">IF(N428*V428-W428+X428=0,"",N428*V428-W428+X428)</f>
        <v/>
      </c>
      <c r="AP428" s="12">
        <f t="shared" ref="AP428" si="619">IF(PRODUCT(M428,P428)=0,"",M428*P428)</f>
        <v>4.62</v>
      </c>
      <c r="AQ428" s="12" t="str">
        <f t="shared" ref="AQ428" si="620">IF(AA428+AB428=0,"",AA428+AB428)</f>
        <v/>
      </c>
      <c r="AR428" s="12" t="str">
        <f t="shared" ref="AR428" si="621">IF(AC428+AD428=0,"",AC428+AD428)</f>
        <v/>
      </c>
      <c r="AS428" s="12" t="str">
        <f t="shared" ref="AS428" si="622">IF((AE428*AH428*AI428)*P428=0,"",(AE428*AH428*AI428)*P428)</f>
        <v/>
      </c>
      <c r="AT428" s="12" t="str">
        <f t="shared" ref="AT428" si="623">IF(AJ428*P428=0,"",AJ428*P428)</f>
        <v/>
      </c>
      <c r="AU428" s="12" t="str">
        <f t="shared" ref="AU428" si="624">IF(OR(H428="s1",H428="s2",H428="s3",H428="s4",H428="s4*",H428="s5",H428="s12",H428="s16"),IF(M428&gt;=4,M428,""),"")</f>
        <v/>
      </c>
      <c r="AV428" s="17"/>
      <c r="AX428" s="4"/>
    </row>
    <row r="429" spans="1:50" x14ac:dyDescent="0.25">
      <c r="A429" s="43" t="s">
        <v>276</v>
      </c>
      <c r="B429" s="52" t="s">
        <v>854</v>
      </c>
      <c r="C429" s="44"/>
      <c r="D429" s="43"/>
      <c r="E429" s="52" t="s">
        <v>843</v>
      </c>
      <c r="F429" s="46"/>
      <c r="G429" s="76" t="s">
        <v>869</v>
      </c>
      <c r="H429" s="48" t="s">
        <v>1093</v>
      </c>
      <c r="I429" s="48"/>
      <c r="J429" s="84" t="s">
        <v>1132</v>
      </c>
      <c r="K429" s="85"/>
      <c r="L429" s="47"/>
      <c r="M429" s="3">
        <v>1.51</v>
      </c>
      <c r="N429" s="3">
        <f t="shared" ref="N429:N433" si="625">6.45-3.55</f>
        <v>2.9000000000000004</v>
      </c>
      <c r="O429" s="22">
        <v>0.1</v>
      </c>
      <c r="P429" s="23">
        <v>1</v>
      </c>
      <c r="Q429" s="3"/>
      <c r="R429" s="3">
        <f t="shared" si="613"/>
        <v>2.387</v>
      </c>
      <c r="S429" s="3"/>
      <c r="T429" s="3"/>
      <c r="U429" s="3"/>
      <c r="V429" s="23"/>
      <c r="W429" s="3"/>
      <c r="X429" s="3"/>
      <c r="Y429" s="17"/>
      <c r="Z429" s="17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12">
        <f t="shared" si="599"/>
        <v>1.9920000000000004</v>
      </c>
      <c r="AL429" s="12">
        <f t="shared" si="600"/>
        <v>1.9920000000000004</v>
      </c>
      <c r="AM429" s="12">
        <f t="shared" si="601"/>
        <v>0.19920000000000004</v>
      </c>
      <c r="AN429" s="12">
        <f t="shared" si="602"/>
        <v>0.19920000000000004</v>
      </c>
      <c r="AO429" s="12" t="str">
        <f t="shared" si="603"/>
        <v/>
      </c>
      <c r="AP429" s="12">
        <f t="shared" si="604"/>
        <v>1.51</v>
      </c>
      <c r="AQ429" s="12" t="str">
        <f t="shared" si="605"/>
        <v/>
      </c>
      <c r="AR429" s="12" t="str">
        <f t="shared" si="606"/>
        <v/>
      </c>
      <c r="AS429" s="12" t="str">
        <f t="shared" si="607"/>
        <v/>
      </c>
      <c r="AT429" s="12" t="str">
        <f t="shared" si="608"/>
        <v/>
      </c>
      <c r="AU429" s="12" t="str">
        <f t="shared" si="609"/>
        <v/>
      </c>
      <c r="AV429" s="17"/>
      <c r="AX429" s="4"/>
    </row>
    <row r="430" spans="1:50" x14ac:dyDescent="0.25">
      <c r="A430" s="43" t="s">
        <v>276</v>
      </c>
      <c r="B430" s="52" t="s">
        <v>876</v>
      </c>
      <c r="C430" s="44"/>
      <c r="D430" s="43"/>
      <c r="E430" s="52" t="s">
        <v>844</v>
      </c>
      <c r="F430" s="46"/>
      <c r="G430" s="76" t="s">
        <v>870</v>
      </c>
      <c r="H430" s="48" t="s">
        <v>1093</v>
      </c>
      <c r="I430" s="48"/>
      <c r="J430" s="84" t="s">
        <v>1132</v>
      </c>
      <c r="K430" s="85"/>
      <c r="L430" s="47"/>
      <c r="M430" s="3">
        <v>1.51</v>
      </c>
      <c r="N430" s="3">
        <f t="shared" si="625"/>
        <v>2.9000000000000004</v>
      </c>
      <c r="O430" s="22">
        <v>0.1</v>
      </c>
      <c r="P430" s="23">
        <v>1</v>
      </c>
      <c r="Q430" s="3"/>
      <c r="R430" s="3">
        <f t="shared" si="613"/>
        <v>2.387</v>
      </c>
      <c r="S430" s="3"/>
      <c r="T430" s="3"/>
      <c r="U430" s="3"/>
      <c r="V430" s="23"/>
      <c r="W430" s="3"/>
      <c r="X430" s="3"/>
      <c r="Y430" s="17"/>
      <c r="Z430" s="17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12">
        <f t="shared" si="599"/>
        <v>1.9920000000000004</v>
      </c>
      <c r="AL430" s="12">
        <f t="shared" si="600"/>
        <v>1.9920000000000004</v>
      </c>
      <c r="AM430" s="12">
        <f t="shared" si="601"/>
        <v>0.19920000000000004</v>
      </c>
      <c r="AN430" s="12">
        <f t="shared" si="602"/>
        <v>0.19920000000000004</v>
      </c>
      <c r="AO430" s="12" t="str">
        <f t="shared" si="603"/>
        <v/>
      </c>
      <c r="AP430" s="12">
        <f t="shared" si="604"/>
        <v>1.51</v>
      </c>
      <c r="AQ430" s="12" t="str">
        <f t="shared" si="605"/>
        <v/>
      </c>
      <c r="AR430" s="12" t="str">
        <f t="shared" si="606"/>
        <v/>
      </c>
      <c r="AS430" s="12" t="str">
        <f t="shared" si="607"/>
        <v/>
      </c>
      <c r="AT430" s="12" t="str">
        <f t="shared" si="608"/>
        <v/>
      </c>
      <c r="AU430" s="12" t="str">
        <f t="shared" si="609"/>
        <v/>
      </c>
      <c r="AV430" s="17"/>
      <c r="AX430" s="4"/>
    </row>
    <row r="431" spans="1:50" x14ac:dyDescent="0.25">
      <c r="A431" s="43" t="s">
        <v>276</v>
      </c>
      <c r="B431" s="52" t="s">
        <v>877</v>
      </c>
      <c r="C431" s="44"/>
      <c r="D431" s="43"/>
      <c r="E431" s="52" t="s">
        <v>845</v>
      </c>
      <c r="F431" s="46"/>
      <c r="G431" s="76" t="s">
        <v>871</v>
      </c>
      <c r="H431" s="48" t="s">
        <v>1093</v>
      </c>
      <c r="I431" s="48"/>
      <c r="J431" s="84" t="s">
        <v>1132</v>
      </c>
      <c r="K431" s="85"/>
      <c r="L431" s="47"/>
      <c r="M431" s="3">
        <v>1.51</v>
      </c>
      <c r="N431" s="3">
        <f t="shared" si="625"/>
        <v>2.9000000000000004</v>
      </c>
      <c r="O431" s="22">
        <v>0.1</v>
      </c>
      <c r="P431" s="23">
        <v>1</v>
      </c>
      <c r="Q431" s="3"/>
      <c r="R431" s="3">
        <f t="shared" si="613"/>
        <v>2.387</v>
      </c>
      <c r="S431" s="3"/>
      <c r="T431" s="3"/>
      <c r="U431" s="3"/>
      <c r="V431" s="23"/>
      <c r="W431" s="3"/>
      <c r="X431" s="3"/>
      <c r="Y431" s="17"/>
      <c r="Z431" s="17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12">
        <f t="shared" si="599"/>
        <v>1.9920000000000004</v>
      </c>
      <c r="AL431" s="12">
        <f t="shared" si="600"/>
        <v>1.9920000000000004</v>
      </c>
      <c r="AM431" s="12">
        <f t="shared" si="601"/>
        <v>0.19920000000000004</v>
      </c>
      <c r="AN431" s="12">
        <f t="shared" si="602"/>
        <v>0.19920000000000004</v>
      </c>
      <c r="AO431" s="12" t="str">
        <f t="shared" si="603"/>
        <v/>
      </c>
      <c r="AP431" s="12">
        <f t="shared" si="604"/>
        <v>1.51</v>
      </c>
      <c r="AQ431" s="12" t="str">
        <f t="shared" si="605"/>
        <v/>
      </c>
      <c r="AR431" s="12" t="str">
        <f t="shared" si="606"/>
        <v/>
      </c>
      <c r="AS431" s="12" t="str">
        <f t="shared" si="607"/>
        <v/>
      </c>
      <c r="AT431" s="12" t="str">
        <f t="shared" si="608"/>
        <v/>
      </c>
      <c r="AU431" s="12" t="str">
        <f t="shared" si="609"/>
        <v/>
      </c>
      <c r="AV431" s="17"/>
      <c r="AX431" s="4"/>
    </row>
    <row r="432" spans="1:50" x14ac:dyDescent="0.25">
      <c r="A432" s="43" t="s">
        <v>276</v>
      </c>
      <c r="B432" s="52" t="s">
        <v>892</v>
      </c>
      <c r="C432" s="44"/>
      <c r="D432" s="43"/>
      <c r="E432" s="52" t="s">
        <v>847</v>
      </c>
      <c r="F432" s="46"/>
      <c r="G432" s="76" t="s">
        <v>872</v>
      </c>
      <c r="H432" s="48" t="s">
        <v>1093</v>
      </c>
      <c r="I432" s="48"/>
      <c r="J432" s="84" t="s">
        <v>1132</v>
      </c>
      <c r="K432" s="85"/>
      <c r="L432" s="47"/>
      <c r="M432" s="3">
        <v>1.51</v>
      </c>
      <c r="N432" s="3">
        <f t="shared" si="625"/>
        <v>2.9000000000000004</v>
      </c>
      <c r="O432" s="22">
        <v>0.1</v>
      </c>
      <c r="P432" s="23">
        <v>1</v>
      </c>
      <c r="Q432" s="3"/>
      <c r="R432" s="3">
        <f t="shared" si="613"/>
        <v>2.387</v>
      </c>
      <c r="S432" s="3"/>
      <c r="T432" s="3"/>
      <c r="U432" s="3"/>
      <c r="V432" s="23"/>
      <c r="W432" s="3"/>
      <c r="X432" s="3"/>
      <c r="Y432" s="17"/>
      <c r="Z432" s="17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12">
        <f t="shared" si="599"/>
        <v>1.9920000000000004</v>
      </c>
      <c r="AL432" s="12">
        <f t="shared" si="600"/>
        <v>1.9920000000000004</v>
      </c>
      <c r="AM432" s="12">
        <f t="shared" si="601"/>
        <v>0.19920000000000004</v>
      </c>
      <c r="AN432" s="12">
        <f t="shared" si="602"/>
        <v>0.19920000000000004</v>
      </c>
      <c r="AO432" s="12" t="str">
        <f t="shared" si="603"/>
        <v/>
      </c>
      <c r="AP432" s="12">
        <f t="shared" si="604"/>
        <v>1.51</v>
      </c>
      <c r="AQ432" s="12" t="str">
        <f t="shared" si="605"/>
        <v/>
      </c>
      <c r="AR432" s="12" t="str">
        <f t="shared" si="606"/>
        <v/>
      </c>
      <c r="AS432" s="12" t="str">
        <f t="shared" si="607"/>
        <v/>
      </c>
      <c r="AT432" s="12" t="str">
        <f t="shared" si="608"/>
        <v/>
      </c>
      <c r="AU432" s="12" t="str">
        <f t="shared" si="609"/>
        <v/>
      </c>
      <c r="AV432" s="17"/>
      <c r="AX432" s="4"/>
    </row>
    <row r="433" spans="1:50" x14ac:dyDescent="0.25">
      <c r="A433" s="43" t="s">
        <v>276</v>
      </c>
      <c r="B433" s="52" t="s">
        <v>692</v>
      </c>
      <c r="C433" s="44"/>
      <c r="D433" s="43"/>
      <c r="E433" s="52"/>
      <c r="F433" s="46"/>
      <c r="G433" s="76" t="s">
        <v>1154</v>
      </c>
      <c r="H433" s="48" t="s">
        <v>1104</v>
      </c>
      <c r="I433" s="48"/>
      <c r="J433" s="84" t="s">
        <v>1132</v>
      </c>
      <c r="K433" s="85"/>
      <c r="L433" s="47"/>
      <c r="M433" s="3">
        <v>1.155</v>
      </c>
      <c r="N433" s="3">
        <f t="shared" si="625"/>
        <v>2.9000000000000004</v>
      </c>
      <c r="O433" s="22">
        <v>0.155</v>
      </c>
      <c r="P433" s="23">
        <v>2</v>
      </c>
      <c r="Q433" s="3"/>
      <c r="R433" s="3"/>
      <c r="S433" s="3"/>
      <c r="T433" s="3"/>
      <c r="U433" s="3"/>
      <c r="V433" s="23"/>
      <c r="W433" s="3"/>
      <c r="X433" s="3"/>
      <c r="Y433" s="17"/>
      <c r="Z433" s="17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12">
        <f t="shared" ref="AK433" si="626">IF(((M433*N433)-Q433-R433-S433+T433+U433)=0,"",((M433*N433)-Q433-R433-S433+T433+U433))</f>
        <v>3.3495000000000004</v>
      </c>
      <c r="AL433" s="12">
        <f t="shared" ref="AL433" si="627">IF(PRODUCT(P433,AK433)=0,"",P433*AK433)</f>
        <v>6.6990000000000007</v>
      </c>
      <c r="AM433" s="12">
        <f t="shared" ref="AM433" si="628">IF(PRODUCT(AK433,O433)=0,"",AK433*O433)</f>
        <v>0.51917250000000004</v>
      </c>
      <c r="AN433" s="12">
        <f t="shared" ref="AN433" si="629">IF(PRODUCT(AM433,P433)=0,"",AM433*P433)</f>
        <v>1.0383450000000001</v>
      </c>
      <c r="AO433" s="12" t="str">
        <f t="shared" ref="AO433" si="630">IF(N433*V433-W433+X433=0,"",N433*V433-W433+X433)</f>
        <v/>
      </c>
      <c r="AP433" s="12">
        <f t="shared" ref="AP433" si="631">IF(PRODUCT(M433,P433)=0,"",M433*P433)</f>
        <v>2.31</v>
      </c>
      <c r="AQ433" s="12" t="str">
        <f t="shared" ref="AQ433" si="632">IF(AA433+AB433=0,"",AA433+AB433)</f>
        <v/>
      </c>
      <c r="AR433" s="12" t="str">
        <f t="shared" ref="AR433" si="633">IF(AC433+AD433=0,"",AC433+AD433)</f>
        <v/>
      </c>
      <c r="AS433" s="12" t="str">
        <f t="shared" ref="AS433" si="634">IF((AE433*AH433*AI433)*P433=0,"",(AE433*AH433*AI433)*P433)</f>
        <v/>
      </c>
      <c r="AT433" s="12" t="str">
        <f t="shared" ref="AT433" si="635">IF(AJ433*P433=0,"",AJ433*P433)</f>
        <v/>
      </c>
      <c r="AU433" s="12" t="str">
        <f t="shared" ref="AU433" si="636">IF(OR(H433="s1",H433="s2",H433="s3",H433="s4",H433="s4*",H433="s5",H433="s12",H433="s16"),IF(M433&gt;=4,M433,""),"")</f>
        <v/>
      </c>
      <c r="AV433" s="17"/>
      <c r="AX433" s="4"/>
    </row>
    <row r="434" spans="1:50" x14ac:dyDescent="0.25">
      <c r="A434" s="43" t="s">
        <v>276</v>
      </c>
      <c r="B434" s="52" t="s">
        <v>893</v>
      </c>
      <c r="C434" s="44"/>
      <c r="D434" s="43"/>
      <c r="E434" s="52" t="s">
        <v>848</v>
      </c>
      <c r="F434" s="46"/>
      <c r="G434" s="76" t="s">
        <v>873</v>
      </c>
      <c r="H434" s="48" t="s">
        <v>1093</v>
      </c>
      <c r="I434" s="48"/>
      <c r="J434" s="84" t="s">
        <v>1132</v>
      </c>
      <c r="K434" s="85"/>
      <c r="L434" s="47"/>
      <c r="M434" s="3">
        <v>1.51</v>
      </c>
      <c r="N434" s="3">
        <f>6.45-3.5</f>
        <v>2.95</v>
      </c>
      <c r="O434" s="22">
        <v>0.1</v>
      </c>
      <c r="P434" s="23">
        <v>1</v>
      </c>
      <c r="Q434" s="3"/>
      <c r="R434" s="3">
        <f t="shared" si="613"/>
        <v>2.387</v>
      </c>
      <c r="S434" s="3"/>
      <c r="T434" s="3"/>
      <c r="U434" s="3"/>
      <c r="V434" s="23"/>
      <c r="W434" s="3"/>
      <c r="X434" s="3"/>
      <c r="Y434" s="17"/>
      <c r="Z434" s="17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12">
        <f t="shared" si="599"/>
        <v>2.0675000000000003</v>
      </c>
      <c r="AL434" s="12">
        <f t="shared" si="600"/>
        <v>2.0675000000000003</v>
      </c>
      <c r="AM434" s="12">
        <f t="shared" si="601"/>
        <v>0.20675000000000004</v>
      </c>
      <c r="AN434" s="12">
        <f t="shared" si="602"/>
        <v>0.20675000000000004</v>
      </c>
      <c r="AO434" s="12" t="str">
        <f t="shared" si="603"/>
        <v/>
      </c>
      <c r="AP434" s="12">
        <f t="shared" si="604"/>
        <v>1.51</v>
      </c>
      <c r="AQ434" s="12" t="str">
        <f t="shared" si="605"/>
        <v/>
      </c>
      <c r="AR434" s="12" t="str">
        <f t="shared" si="606"/>
        <v/>
      </c>
      <c r="AS434" s="12" t="str">
        <f t="shared" si="607"/>
        <v/>
      </c>
      <c r="AT434" s="12" t="str">
        <f t="shared" si="608"/>
        <v/>
      </c>
      <c r="AU434" s="12" t="str">
        <f t="shared" si="609"/>
        <v/>
      </c>
      <c r="AV434" s="17"/>
      <c r="AX434" s="4"/>
    </row>
    <row r="435" spans="1:50" x14ac:dyDescent="0.25">
      <c r="A435" s="43" t="s">
        <v>276</v>
      </c>
      <c r="B435" s="52" t="s">
        <v>894</v>
      </c>
      <c r="C435" s="44"/>
      <c r="D435" s="43"/>
      <c r="E435" s="52" t="s">
        <v>850</v>
      </c>
      <c r="F435" s="46"/>
      <c r="G435" s="76" t="s">
        <v>874</v>
      </c>
      <c r="H435" s="48" t="s">
        <v>1093</v>
      </c>
      <c r="I435" s="48"/>
      <c r="J435" s="84" t="s">
        <v>1132</v>
      </c>
      <c r="K435" s="85"/>
      <c r="L435" s="47"/>
      <c r="M435" s="3">
        <f>2.15+0.205</f>
        <v>2.355</v>
      </c>
      <c r="N435" s="3">
        <f t="shared" ref="N435:N441" si="637">6.45-3.5</f>
        <v>2.95</v>
      </c>
      <c r="O435" s="22">
        <v>0.1</v>
      </c>
      <c r="P435" s="23">
        <v>1</v>
      </c>
      <c r="Q435" s="3"/>
      <c r="R435" s="3">
        <f t="shared" si="613"/>
        <v>2.387</v>
      </c>
      <c r="S435" s="3"/>
      <c r="T435" s="3"/>
      <c r="U435" s="3"/>
      <c r="V435" s="23"/>
      <c r="W435" s="3"/>
      <c r="X435" s="3"/>
      <c r="Y435" s="17"/>
      <c r="Z435" s="17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12">
        <f t="shared" si="599"/>
        <v>4.5602499999999999</v>
      </c>
      <c r="AL435" s="12">
        <f t="shared" si="600"/>
        <v>4.5602499999999999</v>
      </c>
      <c r="AM435" s="12">
        <f t="shared" si="601"/>
        <v>0.45602500000000001</v>
      </c>
      <c r="AN435" s="12">
        <f t="shared" si="602"/>
        <v>0.45602500000000001</v>
      </c>
      <c r="AO435" s="12" t="str">
        <f t="shared" si="603"/>
        <v/>
      </c>
      <c r="AP435" s="12">
        <f t="shared" si="604"/>
        <v>2.355</v>
      </c>
      <c r="AQ435" s="12" t="str">
        <f t="shared" si="605"/>
        <v/>
      </c>
      <c r="AR435" s="12" t="str">
        <f t="shared" si="606"/>
        <v/>
      </c>
      <c r="AS435" s="12" t="str">
        <f t="shared" si="607"/>
        <v/>
      </c>
      <c r="AT435" s="12" t="str">
        <f t="shared" si="608"/>
        <v/>
      </c>
      <c r="AU435" s="12" t="str">
        <f t="shared" si="609"/>
        <v/>
      </c>
      <c r="AV435" s="17"/>
      <c r="AX435" s="4"/>
    </row>
    <row r="436" spans="1:50" x14ac:dyDescent="0.25">
      <c r="A436" s="43" t="s">
        <v>276</v>
      </c>
      <c r="B436" s="52" t="s">
        <v>895</v>
      </c>
      <c r="C436" s="44"/>
      <c r="D436" s="43"/>
      <c r="E436" s="52" t="s">
        <v>851</v>
      </c>
      <c r="F436" s="46"/>
      <c r="G436" s="76" t="s">
        <v>886</v>
      </c>
      <c r="H436" s="48" t="s">
        <v>1093</v>
      </c>
      <c r="I436" s="48"/>
      <c r="J436" s="84" t="s">
        <v>1132</v>
      </c>
      <c r="K436" s="85"/>
      <c r="L436" s="47"/>
      <c r="M436" s="3">
        <v>1.51</v>
      </c>
      <c r="N436" s="3">
        <f t="shared" si="637"/>
        <v>2.95</v>
      </c>
      <c r="O436" s="22">
        <v>0.1</v>
      </c>
      <c r="P436" s="23">
        <v>1</v>
      </c>
      <c r="Q436" s="3"/>
      <c r="R436" s="3">
        <f t="shared" si="613"/>
        <v>2.387</v>
      </c>
      <c r="S436" s="3"/>
      <c r="T436" s="3"/>
      <c r="U436" s="3"/>
      <c r="V436" s="23"/>
      <c r="W436" s="3"/>
      <c r="X436" s="3"/>
      <c r="Y436" s="17"/>
      <c r="Z436" s="17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12">
        <f t="shared" si="599"/>
        <v>2.0675000000000003</v>
      </c>
      <c r="AL436" s="12">
        <f t="shared" si="600"/>
        <v>2.0675000000000003</v>
      </c>
      <c r="AM436" s="12">
        <f t="shared" si="601"/>
        <v>0.20675000000000004</v>
      </c>
      <c r="AN436" s="12">
        <f t="shared" si="602"/>
        <v>0.20675000000000004</v>
      </c>
      <c r="AO436" s="12" t="str">
        <f t="shared" si="603"/>
        <v/>
      </c>
      <c r="AP436" s="12">
        <f t="shared" si="604"/>
        <v>1.51</v>
      </c>
      <c r="AQ436" s="12" t="str">
        <f t="shared" si="605"/>
        <v/>
      </c>
      <c r="AR436" s="12" t="str">
        <f t="shared" si="606"/>
        <v/>
      </c>
      <c r="AS436" s="12" t="str">
        <f t="shared" si="607"/>
        <v/>
      </c>
      <c r="AT436" s="12" t="str">
        <f t="shared" si="608"/>
        <v/>
      </c>
      <c r="AU436" s="12" t="str">
        <f t="shared" si="609"/>
        <v/>
      </c>
      <c r="AV436" s="17"/>
      <c r="AX436" s="4"/>
    </row>
    <row r="437" spans="1:50" x14ac:dyDescent="0.25">
      <c r="A437" s="43" t="s">
        <v>276</v>
      </c>
      <c r="B437" s="52" t="s">
        <v>692</v>
      </c>
      <c r="C437" s="44"/>
      <c r="D437" s="43"/>
      <c r="E437" s="52"/>
      <c r="F437" s="46"/>
      <c r="G437" s="76" t="s">
        <v>1155</v>
      </c>
      <c r="H437" s="48" t="s">
        <v>1104</v>
      </c>
      <c r="I437" s="48"/>
      <c r="J437" s="84" t="s">
        <v>1132</v>
      </c>
      <c r="K437" s="85"/>
      <c r="L437" s="47"/>
      <c r="M437" s="3">
        <v>1.155</v>
      </c>
      <c r="N437" s="3">
        <f t="shared" si="637"/>
        <v>2.95</v>
      </c>
      <c r="O437" s="22">
        <v>0.155</v>
      </c>
      <c r="P437" s="23">
        <v>4</v>
      </c>
      <c r="Q437" s="3"/>
      <c r="R437" s="3"/>
      <c r="S437" s="3"/>
      <c r="T437" s="3"/>
      <c r="U437" s="3"/>
      <c r="V437" s="23"/>
      <c r="W437" s="3"/>
      <c r="X437" s="3"/>
      <c r="Y437" s="17"/>
      <c r="Z437" s="17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12">
        <f t="shared" ref="AK437" si="638">IF(((M437*N437)-Q437-R437-S437+T437+U437)=0,"",((M437*N437)-Q437-R437-S437+T437+U437))</f>
        <v>3.4072500000000003</v>
      </c>
      <c r="AL437" s="12">
        <f t="shared" ref="AL437" si="639">IF(PRODUCT(P437,AK437)=0,"",P437*AK437)</f>
        <v>13.629000000000001</v>
      </c>
      <c r="AM437" s="12">
        <f t="shared" ref="AM437" si="640">IF(PRODUCT(AK437,O437)=0,"",AK437*O437)</f>
        <v>0.52812375</v>
      </c>
      <c r="AN437" s="12">
        <f t="shared" ref="AN437" si="641">IF(PRODUCT(AM437,P437)=0,"",AM437*P437)</f>
        <v>2.112495</v>
      </c>
      <c r="AO437" s="12" t="str">
        <f t="shared" ref="AO437" si="642">IF(N437*V437-W437+X437=0,"",N437*V437-W437+X437)</f>
        <v/>
      </c>
      <c r="AP437" s="12">
        <f t="shared" ref="AP437" si="643">IF(PRODUCT(M437,P437)=0,"",M437*P437)</f>
        <v>4.62</v>
      </c>
      <c r="AQ437" s="12" t="str">
        <f t="shared" ref="AQ437" si="644">IF(AA437+AB437=0,"",AA437+AB437)</f>
        <v/>
      </c>
      <c r="AR437" s="12" t="str">
        <f t="shared" ref="AR437" si="645">IF(AC437+AD437=0,"",AC437+AD437)</f>
        <v/>
      </c>
      <c r="AS437" s="12" t="str">
        <f t="shared" ref="AS437" si="646">IF((AE437*AH437*AI437)*P437=0,"",(AE437*AH437*AI437)*P437)</f>
        <v/>
      </c>
      <c r="AT437" s="12" t="str">
        <f t="shared" ref="AT437" si="647">IF(AJ437*P437=0,"",AJ437*P437)</f>
        <v/>
      </c>
      <c r="AU437" s="12" t="str">
        <f t="shared" ref="AU437" si="648">IF(OR(H437="s1",H437="s2",H437="s3",H437="s4",H437="s4*",H437="s5",H437="s12",H437="s16"),IF(M437&gt;=4,M437,""),"")</f>
        <v/>
      </c>
      <c r="AV437" s="17"/>
      <c r="AX437" s="4"/>
    </row>
    <row r="438" spans="1:50" x14ac:dyDescent="0.25">
      <c r="A438" s="43" t="s">
        <v>276</v>
      </c>
      <c r="B438" s="52" t="s">
        <v>896</v>
      </c>
      <c r="C438" s="44"/>
      <c r="D438" s="43"/>
      <c r="E438" s="52" t="s">
        <v>852</v>
      </c>
      <c r="F438" s="46"/>
      <c r="G438" s="76" t="s">
        <v>887</v>
      </c>
      <c r="H438" s="48" t="s">
        <v>1093</v>
      </c>
      <c r="I438" s="48"/>
      <c r="J438" s="84" t="s">
        <v>1132</v>
      </c>
      <c r="K438" s="85"/>
      <c r="L438" s="47"/>
      <c r="M438" s="3">
        <v>1.51</v>
      </c>
      <c r="N438" s="3">
        <f t="shared" si="637"/>
        <v>2.95</v>
      </c>
      <c r="O438" s="22">
        <v>0.1</v>
      </c>
      <c r="P438" s="23">
        <v>1</v>
      </c>
      <c r="Q438" s="3"/>
      <c r="R438" s="3">
        <f t="shared" si="613"/>
        <v>2.387</v>
      </c>
      <c r="S438" s="3"/>
      <c r="T438" s="3"/>
      <c r="U438" s="3"/>
      <c r="V438" s="23"/>
      <c r="W438" s="3"/>
      <c r="X438" s="3"/>
      <c r="Y438" s="17"/>
      <c r="Z438" s="17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12">
        <f t="shared" si="599"/>
        <v>2.0675000000000003</v>
      </c>
      <c r="AL438" s="12">
        <f t="shared" si="600"/>
        <v>2.0675000000000003</v>
      </c>
      <c r="AM438" s="12">
        <f t="shared" si="601"/>
        <v>0.20675000000000004</v>
      </c>
      <c r="AN438" s="12">
        <f t="shared" si="602"/>
        <v>0.20675000000000004</v>
      </c>
      <c r="AO438" s="12" t="str">
        <f t="shared" si="603"/>
        <v/>
      </c>
      <c r="AP438" s="12">
        <f t="shared" si="604"/>
        <v>1.51</v>
      </c>
      <c r="AQ438" s="12" t="str">
        <f t="shared" si="605"/>
        <v/>
      </c>
      <c r="AR438" s="12" t="str">
        <f t="shared" si="606"/>
        <v/>
      </c>
      <c r="AS438" s="12" t="str">
        <f t="shared" si="607"/>
        <v/>
      </c>
      <c r="AT438" s="12" t="str">
        <f t="shared" si="608"/>
        <v/>
      </c>
      <c r="AU438" s="12" t="str">
        <f t="shared" si="609"/>
        <v/>
      </c>
      <c r="AV438" s="17"/>
      <c r="AX438" s="4"/>
    </row>
    <row r="439" spans="1:50" x14ac:dyDescent="0.25">
      <c r="A439" s="43" t="s">
        <v>276</v>
      </c>
      <c r="B439" s="52" t="s">
        <v>897</v>
      </c>
      <c r="C439" s="44"/>
      <c r="D439" s="43"/>
      <c r="E439" s="52" t="s">
        <v>853</v>
      </c>
      <c r="F439" s="46"/>
      <c r="G439" s="76" t="s">
        <v>888</v>
      </c>
      <c r="H439" s="48" t="s">
        <v>1093</v>
      </c>
      <c r="I439" s="48"/>
      <c r="J439" s="84" t="s">
        <v>1132</v>
      </c>
      <c r="K439" s="85"/>
      <c r="L439" s="47"/>
      <c r="M439" s="3">
        <v>1.51</v>
      </c>
      <c r="N439" s="3">
        <f t="shared" si="637"/>
        <v>2.95</v>
      </c>
      <c r="O439" s="22">
        <v>0.1</v>
      </c>
      <c r="P439" s="23">
        <v>1</v>
      </c>
      <c r="Q439" s="3"/>
      <c r="R439" s="3">
        <f t="shared" si="613"/>
        <v>2.387</v>
      </c>
      <c r="S439" s="3"/>
      <c r="T439" s="3"/>
      <c r="U439" s="3"/>
      <c r="V439" s="23"/>
      <c r="W439" s="3"/>
      <c r="X439" s="3"/>
      <c r="Y439" s="17"/>
      <c r="Z439" s="17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12">
        <f t="shared" si="599"/>
        <v>2.0675000000000003</v>
      </c>
      <c r="AL439" s="12">
        <f t="shared" si="600"/>
        <v>2.0675000000000003</v>
      </c>
      <c r="AM439" s="12">
        <f t="shared" si="601"/>
        <v>0.20675000000000004</v>
      </c>
      <c r="AN439" s="12">
        <f t="shared" si="602"/>
        <v>0.20675000000000004</v>
      </c>
      <c r="AO439" s="12" t="str">
        <f t="shared" si="603"/>
        <v/>
      </c>
      <c r="AP439" s="12">
        <f t="shared" si="604"/>
        <v>1.51</v>
      </c>
      <c r="AQ439" s="12" t="str">
        <f t="shared" si="605"/>
        <v/>
      </c>
      <c r="AR439" s="12" t="str">
        <f t="shared" si="606"/>
        <v/>
      </c>
      <c r="AS439" s="12" t="str">
        <f t="shared" si="607"/>
        <v/>
      </c>
      <c r="AT439" s="12" t="str">
        <f t="shared" si="608"/>
        <v/>
      </c>
      <c r="AU439" s="12" t="str">
        <f t="shared" si="609"/>
        <v/>
      </c>
      <c r="AV439" s="17"/>
      <c r="AX439" s="4"/>
    </row>
    <row r="440" spans="1:50" x14ac:dyDescent="0.25">
      <c r="A440" s="43" t="s">
        <v>276</v>
      </c>
      <c r="B440" s="52" t="s">
        <v>898</v>
      </c>
      <c r="C440" s="44"/>
      <c r="D440" s="43"/>
      <c r="E440" s="52" t="s">
        <v>855</v>
      </c>
      <c r="F440" s="46"/>
      <c r="G440" s="76" t="s">
        <v>889</v>
      </c>
      <c r="H440" s="48" t="s">
        <v>1093</v>
      </c>
      <c r="I440" s="48"/>
      <c r="J440" s="84" t="s">
        <v>1132</v>
      </c>
      <c r="K440" s="85"/>
      <c r="L440" s="47"/>
      <c r="M440" s="3">
        <v>1.51</v>
      </c>
      <c r="N440" s="3">
        <f t="shared" si="637"/>
        <v>2.95</v>
      </c>
      <c r="O440" s="22">
        <v>0.1</v>
      </c>
      <c r="P440" s="23">
        <v>1</v>
      </c>
      <c r="Q440" s="3"/>
      <c r="R440" s="3">
        <f t="shared" si="613"/>
        <v>2.387</v>
      </c>
      <c r="S440" s="3"/>
      <c r="T440" s="3"/>
      <c r="U440" s="3"/>
      <c r="V440" s="23"/>
      <c r="W440" s="3"/>
      <c r="X440" s="3"/>
      <c r="Y440" s="17"/>
      <c r="Z440" s="17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12">
        <f t="shared" si="599"/>
        <v>2.0675000000000003</v>
      </c>
      <c r="AL440" s="12">
        <f t="shared" si="600"/>
        <v>2.0675000000000003</v>
      </c>
      <c r="AM440" s="12">
        <f t="shared" si="601"/>
        <v>0.20675000000000004</v>
      </c>
      <c r="AN440" s="12">
        <f t="shared" si="602"/>
        <v>0.20675000000000004</v>
      </c>
      <c r="AO440" s="12" t="str">
        <f t="shared" si="603"/>
        <v/>
      </c>
      <c r="AP440" s="12">
        <f t="shared" si="604"/>
        <v>1.51</v>
      </c>
      <c r="AQ440" s="12" t="str">
        <f t="shared" si="605"/>
        <v/>
      </c>
      <c r="AR440" s="12" t="str">
        <f t="shared" si="606"/>
        <v/>
      </c>
      <c r="AS440" s="12" t="str">
        <f t="shared" si="607"/>
        <v/>
      </c>
      <c r="AT440" s="12" t="str">
        <f t="shared" si="608"/>
        <v/>
      </c>
      <c r="AU440" s="12" t="str">
        <f t="shared" si="609"/>
        <v/>
      </c>
      <c r="AV440" s="17"/>
      <c r="AX440" s="4"/>
    </row>
    <row r="441" spans="1:50" x14ac:dyDescent="0.25">
      <c r="A441" s="43" t="s">
        <v>276</v>
      </c>
      <c r="B441" s="52" t="s">
        <v>883</v>
      </c>
      <c r="C441" s="44"/>
      <c r="D441" s="43"/>
      <c r="E441" s="52" t="s">
        <v>856</v>
      </c>
      <c r="F441" s="46"/>
      <c r="G441" s="76" t="s">
        <v>890</v>
      </c>
      <c r="H441" s="48" t="s">
        <v>1093</v>
      </c>
      <c r="I441" s="48"/>
      <c r="J441" s="84" t="s">
        <v>1132</v>
      </c>
      <c r="K441" s="85"/>
      <c r="L441" s="47"/>
      <c r="M441" s="3">
        <v>1.51</v>
      </c>
      <c r="N441" s="3">
        <f t="shared" si="637"/>
        <v>2.95</v>
      </c>
      <c r="O441" s="22">
        <v>0.1</v>
      </c>
      <c r="P441" s="23">
        <v>1</v>
      </c>
      <c r="Q441" s="3"/>
      <c r="R441" s="3">
        <f t="shared" si="613"/>
        <v>2.387</v>
      </c>
      <c r="S441" s="3"/>
      <c r="T441" s="3"/>
      <c r="U441" s="3"/>
      <c r="V441" s="23"/>
      <c r="W441" s="3"/>
      <c r="X441" s="3"/>
      <c r="Y441" s="17"/>
      <c r="Z441" s="17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12">
        <f t="shared" si="599"/>
        <v>2.0675000000000003</v>
      </c>
      <c r="AL441" s="12">
        <f t="shared" si="600"/>
        <v>2.0675000000000003</v>
      </c>
      <c r="AM441" s="12">
        <f t="shared" si="601"/>
        <v>0.20675000000000004</v>
      </c>
      <c r="AN441" s="12">
        <f t="shared" si="602"/>
        <v>0.20675000000000004</v>
      </c>
      <c r="AO441" s="12" t="str">
        <f t="shared" si="603"/>
        <v/>
      </c>
      <c r="AP441" s="12">
        <f t="shared" si="604"/>
        <v>1.51</v>
      </c>
      <c r="AQ441" s="12" t="str">
        <f t="shared" si="605"/>
        <v/>
      </c>
      <c r="AR441" s="12" t="str">
        <f t="shared" si="606"/>
        <v/>
      </c>
      <c r="AS441" s="12" t="str">
        <f t="shared" si="607"/>
        <v/>
      </c>
      <c r="AT441" s="12" t="str">
        <f t="shared" si="608"/>
        <v/>
      </c>
      <c r="AU441" s="12" t="str">
        <f t="shared" si="609"/>
        <v/>
      </c>
      <c r="AV441" s="17"/>
      <c r="AX441" s="4"/>
    </row>
    <row r="442" spans="1:50" x14ac:dyDescent="0.25">
      <c r="A442" s="43" t="s">
        <v>276</v>
      </c>
      <c r="B442" s="52" t="s">
        <v>891</v>
      </c>
      <c r="C442" s="44"/>
      <c r="D442" s="43"/>
      <c r="E442" s="52" t="s">
        <v>854</v>
      </c>
      <c r="F442" s="46"/>
      <c r="G442" s="76" t="s">
        <v>899</v>
      </c>
      <c r="H442" s="48" t="s">
        <v>1108</v>
      </c>
      <c r="I442" s="48"/>
      <c r="J442" s="84" t="s">
        <v>1131</v>
      </c>
      <c r="K442" s="85"/>
      <c r="L442" s="47" t="s">
        <v>567</v>
      </c>
      <c r="M442" s="3">
        <v>2.5</v>
      </c>
      <c r="N442" s="3">
        <f>6.45-3.55</f>
        <v>2.9000000000000004</v>
      </c>
      <c r="O442" s="22">
        <v>0.46500000000000002</v>
      </c>
      <c r="P442" s="23">
        <v>1</v>
      </c>
      <c r="Q442" s="3"/>
      <c r="R442" s="3"/>
      <c r="S442" s="3"/>
      <c r="T442" s="3"/>
      <c r="U442" s="3"/>
      <c r="V442" s="23"/>
      <c r="W442" s="3"/>
      <c r="X442" s="3"/>
      <c r="Y442" s="17"/>
      <c r="Z442" s="17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12">
        <f t="shared" si="599"/>
        <v>7.2500000000000009</v>
      </c>
      <c r="AL442" s="12">
        <f t="shared" si="600"/>
        <v>7.2500000000000009</v>
      </c>
      <c r="AM442" s="12">
        <f t="shared" si="601"/>
        <v>3.3712500000000007</v>
      </c>
      <c r="AN442" s="12">
        <f t="shared" si="602"/>
        <v>3.3712500000000007</v>
      </c>
      <c r="AO442" s="12" t="str">
        <f t="shared" si="603"/>
        <v/>
      </c>
      <c r="AP442" s="12">
        <f t="shared" si="604"/>
        <v>2.5</v>
      </c>
      <c r="AQ442" s="12" t="str">
        <f t="shared" si="605"/>
        <v/>
      </c>
      <c r="AR442" s="12" t="str">
        <f t="shared" si="606"/>
        <v/>
      </c>
      <c r="AS442" s="12" t="str">
        <f t="shared" si="607"/>
        <v/>
      </c>
      <c r="AT442" s="12" t="str">
        <f t="shared" si="608"/>
        <v/>
      </c>
      <c r="AU442" s="12" t="str">
        <f t="shared" si="609"/>
        <v/>
      </c>
      <c r="AV442" s="17"/>
      <c r="AX442" s="4"/>
    </row>
    <row r="443" spans="1:50" x14ac:dyDescent="0.25">
      <c r="A443" s="43" t="s">
        <v>276</v>
      </c>
      <c r="B443" s="52" t="s">
        <v>876</v>
      </c>
      <c r="C443" s="44"/>
      <c r="D443" s="43"/>
      <c r="E443" s="52"/>
      <c r="F443" s="46"/>
      <c r="G443" s="76" t="s">
        <v>900</v>
      </c>
      <c r="H443" s="48" t="s">
        <v>1090</v>
      </c>
      <c r="I443" s="48"/>
      <c r="J443" s="84" t="s">
        <v>1131</v>
      </c>
      <c r="K443" s="85"/>
      <c r="L443" s="47" t="s">
        <v>907</v>
      </c>
      <c r="M443" s="3">
        <v>2.5</v>
      </c>
      <c r="N443" s="3">
        <f t="shared" ref="N443:N448" si="649">6.45-3.55</f>
        <v>2.9000000000000004</v>
      </c>
      <c r="O443" s="22">
        <v>0.185</v>
      </c>
      <c r="P443" s="23">
        <v>1</v>
      </c>
      <c r="Q443" s="3"/>
      <c r="R443" s="3"/>
      <c r="S443" s="3"/>
      <c r="T443" s="3"/>
      <c r="U443" s="3"/>
      <c r="V443" s="23"/>
      <c r="W443" s="3"/>
      <c r="X443" s="3"/>
      <c r="Y443" s="17"/>
      <c r="Z443" s="17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12">
        <f t="shared" si="599"/>
        <v>7.2500000000000009</v>
      </c>
      <c r="AL443" s="12">
        <f t="shared" si="600"/>
        <v>7.2500000000000009</v>
      </c>
      <c r="AM443" s="12">
        <f t="shared" si="601"/>
        <v>1.3412500000000001</v>
      </c>
      <c r="AN443" s="12">
        <f t="shared" si="602"/>
        <v>1.3412500000000001</v>
      </c>
      <c r="AO443" s="12" t="str">
        <f t="shared" si="603"/>
        <v/>
      </c>
      <c r="AP443" s="12">
        <f t="shared" si="604"/>
        <v>2.5</v>
      </c>
      <c r="AQ443" s="12" t="str">
        <f t="shared" si="605"/>
        <v/>
      </c>
      <c r="AR443" s="12" t="str">
        <f t="shared" si="606"/>
        <v/>
      </c>
      <c r="AS443" s="12" t="str">
        <f t="shared" si="607"/>
        <v/>
      </c>
      <c r="AT443" s="12" t="str">
        <f t="shared" si="608"/>
        <v/>
      </c>
      <c r="AU443" s="12" t="str">
        <f t="shared" si="609"/>
        <v/>
      </c>
      <c r="AV443" s="17"/>
      <c r="AX443" s="4"/>
    </row>
    <row r="444" spans="1:50" x14ac:dyDescent="0.25">
      <c r="A444" s="43" t="s">
        <v>276</v>
      </c>
      <c r="B444" s="52" t="s">
        <v>876</v>
      </c>
      <c r="C444" s="44"/>
      <c r="D444" s="43"/>
      <c r="E444" s="52"/>
      <c r="F444" s="46"/>
      <c r="G444" s="76" t="s">
        <v>1113</v>
      </c>
      <c r="H444" s="48" t="s">
        <v>1110</v>
      </c>
      <c r="I444" s="48"/>
      <c r="J444" s="84" t="s">
        <v>1146</v>
      </c>
      <c r="K444" s="85"/>
      <c r="L444" s="47" t="s">
        <v>1111</v>
      </c>
      <c r="M444" s="3">
        <v>1</v>
      </c>
      <c r="N444" s="3">
        <v>1.9</v>
      </c>
      <c r="O444" s="22">
        <v>0.05</v>
      </c>
      <c r="P444" s="23">
        <v>1</v>
      </c>
      <c r="Q444" s="3"/>
      <c r="R444" s="3"/>
      <c r="S444" s="3"/>
      <c r="T444" s="3"/>
      <c r="U444" s="3"/>
      <c r="V444" s="23"/>
      <c r="W444" s="3"/>
      <c r="X444" s="3"/>
      <c r="Y444" s="17"/>
      <c r="Z444" s="17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12">
        <f t="shared" ref="AK444" si="650">IF(((M444*N444)-Q444-R444-S444+T444+U444)=0,"",((M444*N444)-Q444-R444-S444+T444+U444))</f>
        <v>1.9</v>
      </c>
      <c r="AL444" s="12">
        <f t="shared" ref="AL444" si="651">IF(PRODUCT(P444,AK444)=0,"",P444*AK444)</f>
        <v>1.9</v>
      </c>
      <c r="AM444" s="12">
        <f t="shared" ref="AM444" si="652">IF(PRODUCT(AK444,O444)=0,"",AK444*O444)</f>
        <v>9.5000000000000001E-2</v>
      </c>
      <c r="AN444" s="12">
        <f t="shared" ref="AN444" si="653">IF(PRODUCT(AM444,P444)=0,"",AM444*P444)</f>
        <v>9.5000000000000001E-2</v>
      </c>
      <c r="AO444" s="12" t="str">
        <f t="shared" ref="AO444" si="654">IF(N444*V444-W444+X444=0,"",N444*V444-W444+X444)</f>
        <v/>
      </c>
      <c r="AP444" s="12">
        <f t="shared" ref="AP444" si="655">IF(PRODUCT(M444,P444)=0,"",M444*P444)</f>
        <v>1</v>
      </c>
      <c r="AQ444" s="12" t="str">
        <f t="shared" ref="AQ444" si="656">IF(AA444+AB444=0,"",AA444+AB444)</f>
        <v/>
      </c>
      <c r="AR444" s="12" t="str">
        <f t="shared" ref="AR444" si="657">IF(AC444+AD444=0,"",AC444+AD444)</f>
        <v/>
      </c>
      <c r="AS444" s="12" t="str">
        <f t="shared" ref="AS444" si="658">IF((AE444*AH444*AI444)*P444=0,"",(AE444*AH444*AI444)*P444)</f>
        <v/>
      </c>
      <c r="AT444" s="12" t="str">
        <f t="shared" ref="AT444" si="659">IF(AJ444*P444=0,"",AJ444*P444)</f>
        <v/>
      </c>
      <c r="AU444" s="12" t="str">
        <f t="shared" ref="AU444" si="660">IF(OR(H444="s1",H444="s2",H444="s3",H444="s4",H444="s4*",H444="s5",H444="s12",H444="s16"),IF(M444&gt;=4,M444,""),"")</f>
        <v/>
      </c>
      <c r="AV444" s="17"/>
      <c r="AX444" s="4"/>
    </row>
    <row r="445" spans="1:50" x14ac:dyDescent="0.25">
      <c r="A445" s="43" t="s">
        <v>276</v>
      </c>
      <c r="B445" s="52" t="s">
        <v>876</v>
      </c>
      <c r="C445" s="44"/>
      <c r="D445" s="43"/>
      <c r="E445" s="52"/>
      <c r="F445" s="46"/>
      <c r="G445" s="76" t="s">
        <v>1113</v>
      </c>
      <c r="H445" s="48" t="s">
        <v>1110</v>
      </c>
      <c r="I445" s="48"/>
      <c r="J445" s="84" t="s">
        <v>1146</v>
      </c>
      <c r="K445" s="85"/>
      <c r="L445" s="47" t="s">
        <v>1111</v>
      </c>
      <c r="M445" s="3">
        <v>1</v>
      </c>
      <c r="N445" s="3">
        <v>0.25</v>
      </c>
      <c r="O445" s="22">
        <v>0.05</v>
      </c>
      <c r="P445" s="23">
        <v>1</v>
      </c>
      <c r="Q445" s="3"/>
      <c r="R445" s="3"/>
      <c r="S445" s="3"/>
      <c r="T445" s="3"/>
      <c r="U445" s="3"/>
      <c r="V445" s="23"/>
      <c r="W445" s="3"/>
      <c r="X445" s="3"/>
      <c r="Y445" s="17"/>
      <c r="Z445" s="17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12">
        <f t="shared" ref="AK445" si="661">IF(((M445*N445)-Q445-R445-S445+T445+U445)=0,"",((M445*N445)-Q445-R445-S445+T445+U445))</f>
        <v>0.25</v>
      </c>
      <c r="AL445" s="12">
        <f t="shared" ref="AL445" si="662">IF(PRODUCT(P445,AK445)=0,"",P445*AK445)</f>
        <v>0.25</v>
      </c>
      <c r="AM445" s="12">
        <f t="shared" ref="AM445" si="663">IF(PRODUCT(AK445,O445)=0,"",AK445*O445)</f>
        <v>1.2500000000000001E-2</v>
      </c>
      <c r="AN445" s="12">
        <f t="shared" ref="AN445" si="664">IF(PRODUCT(AM445,P445)=0,"",AM445*P445)</f>
        <v>1.2500000000000001E-2</v>
      </c>
      <c r="AO445" s="12" t="str">
        <f t="shared" ref="AO445" si="665">IF(N445*V445-W445+X445=0,"",N445*V445-W445+X445)</f>
        <v/>
      </c>
      <c r="AP445" s="12">
        <f t="shared" ref="AP445" si="666">IF(PRODUCT(M445,P445)=0,"",M445*P445)</f>
        <v>1</v>
      </c>
      <c r="AQ445" s="12" t="str">
        <f t="shared" ref="AQ445" si="667">IF(AA445+AB445=0,"",AA445+AB445)</f>
        <v/>
      </c>
      <c r="AR445" s="12" t="str">
        <f t="shared" ref="AR445" si="668">IF(AC445+AD445=0,"",AC445+AD445)</f>
        <v/>
      </c>
      <c r="AS445" s="12" t="str">
        <f t="shared" ref="AS445" si="669">IF((AE445*AH445*AI445)*P445=0,"",(AE445*AH445*AI445)*P445)</f>
        <v/>
      </c>
      <c r="AT445" s="12" t="str">
        <f t="shared" ref="AT445" si="670">IF(AJ445*P445=0,"",AJ445*P445)</f>
        <v/>
      </c>
      <c r="AU445" s="12" t="str">
        <f t="shared" ref="AU445" si="671">IF(OR(H445="s1",H445="s2",H445="s3",H445="s4",H445="s4*",H445="s5",H445="s12",H445="s16"),IF(M445&gt;=4,M445,""),"")</f>
        <v/>
      </c>
      <c r="AV445" s="17"/>
      <c r="AX445" s="4"/>
    </row>
    <row r="446" spans="1:50" x14ac:dyDescent="0.25">
      <c r="A446" s="43" t="s">
        <v>276</v>
      </c>
      <c r="B446" s="52" t="s">
        <v>877</v>
      </c>
      <c r="C446" s="44"/>
      <c r="D446" s="43"/>
      <c r="E446" s="52"/>
      <c r="F446" s="46"/>
      <c r="G446" s="76" t="s">
        <v>901</v>
      </c>
      <c r="H446" s="48" t="s">
        <v>1090</v>
      </c>
      <c r="I446" s="48"/>
      <c r="J446" s="84" t="s">
        <v>1131</v>
      </c>
      <c r="K446" s="85"/>
      <c r="L446" s="47" t="s">
        <v>907</v>
      </c>
      <c r="M446" s="3">
        <v>2.5</v>
      </c>
      <c r="N446" s="3">
        <f t="shared" si="649"/>
        <v>2.9000000000000004</v>
      </c>
      <c r="O446" s="22">
        <v>0.185</v>
      </c>
      <c r="P446" s="23">
        <v>1</v>
      </c>
      <c r="Q446" s="3"/>
      <c r="R446" s="3"/>
      <c r="S446" s="3"/>
      <c r="T446" s="3"/>
      <c r="U446" s="3"/>
      <c r="V446" s="23"/>
      <c r="W446" s="3"/>
      <c r="X446" s="3"/>
      <c r="Y446" s="17"/>
      <c r="Z446" s="17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12">
        <f t="shared" si="599"/>
        <v>7.2500000000000009</v>
      </c>
      <c r="AL446" s="12">
        <f t="shared" si="600"/>
        <v>7.2500000000000009</v>
      </c>
      <c r="AM446" s="12">
        <f t="shared" si="601"/>
        <v>1.3412500000000001</v>
      </c>
      <c r="AN446" s="12">
        <f t="shared" si="602"/>
        <v>1.3412500000000001</v>
      </c>
      <c r="AO446" s="12" t="str">
        <f t="shared" si="603"/>
        <v/>
      </c>
      <c r="AP446" s="12">
        <f t="shared" si="604"/>
        <v>2.5</v>
      </c>
      <c r="AQ446" s="12" t="str">
        <f t="shared" si="605"/>
        <v/>
      </c>
      <c r="AR446" s="12" t="str">
        <f t="shared" si="606"/>
        <v/>
      </c>
      <c r="AS446" s="12" t="str">
        <f t="shared" si="607"/>
        <v/>
      </c>
      <c r="AT446" s="12" t="str">
        <f t="shared" si="608"/>
        <v/>
      </c>
      <c r="AU446" s="12" t="str">
        <f t="shared" si="609"/>
        <v/>
      </c>
      <c r="AV446" s="17"/>
      <c r="AX446" s="4"/>
    </row>
    <row r="447" spans="1:50" x14ac:dyDescent="0.25">
      <c r="A447" s="43" t="s">
        <v>276</v>
      </c>
      <c r="B447" s="52" t="s">
        <v>877</v>
      </c>
      <c r="C447" s="44"/>
      <c r="D447" s="43"/>
      <c r="E447" s="52"/>
      <c r="F447" s="46"/>
      <c r="G447" s="76" t="s">
        <v>1114</v>
      </c>
      <c r="H447" s="48" t="s">
        <v>1110</v>
      </c>
      <c r="I447" s="48"/>
      <c r="J447" s="84" t="s">
        <v>1146</v>
      </c>
      <c r="K447" s="85"/>
      <c r="L447" s="47" t="s">
        <v>1111</v>
      </c>
      <c r="M447" s="3">
        <v>0.86</v>
      </c>
      <c r="N447" s="3">
        <v>0.25</v>
      </c>
      <c r="O447" s="22">
        <v>0.05</v>
      </c>
      <c r="P447" s="23">
        <v>1</v>
      </c>
      <c r="Q447" s="3"/>
      <c r="R447" s="3"/>
      <c r="S447" s="3"/>
      <c r="T447" s="3"/>
      <c r="U447" s="3"/>
      <c r="V447" s="23"/>
      <c r="W447" s="3"/>
      <c r="X447" s="3"/>
      <c r="Y447" s="17"/>
      <c r="Z447" s="17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12">
        <f t="shared" si="599"/>
        <v>0.215</v>
      </c>
      <c r="AL447" s="12">
        <f t="shared" si="600"/>
        <v>0.215</v>
      </c>
      <c r="AM447" s="12">
        <f t="shared" si="601"/>
        <v>1.0750000000000001E-2</v>
      </c>
      <c r="AN447" s="12">
        <f t="shared" si="602"/>
        <v>1.0750000000000001E-2</v>
      </c>
      <c r="AO447" s="12" t="str">
        <f t="shared" si="603"/>
        <v/>
      </c>
      <c r="AP447" s="12">
        <f t="shared" si="604"/>
        <v>0.86</v>
      </c>
      <c r="AQ447" s="12" t="str">
        <f t="shared" si="605"/>
        <v/>
      </c>
      <c r="AR447" s="12" t="str">
        <f t="shared" si="606"/>
        <v/>
      </c>
      <c r="AS447" s="12" t="str">
        <f t="shared" si="607"/>
        <v/>
      </c>
      <c r="AT447" s="12" t="str">
        <f t="shared" si="608"/>
        <v/>
      </c>
      <c r="AU447" s="12" t="str">
        <f t="shared" si="609"/>
        <v/>
      </c>
      <c r="AV447" s="17"/>
      <c r="AX447" s="4"/>
    </row>
    <row r="448" spans="1:50" x14ac:dyDescent="0.25">
      <c r="A448" s="43" t="s">
        <v>276</v>
      </c>
      <c r="B448" s="52" t="s">
        <v>892</v>
      </c>
      <c r="C448" s="44"/>
      <c r="D448" s="43"/>
      <c r="E448" s="52" t="s">
        <v>893</v>
      </c>
      <c r="F448" s="46"/>
      <c r="G448" s="76" t="s">
        <v>902</v>
      </c>
      <c r="H448" s="48" t="s">
        <v>1108</v>
      </c>
      <c r="I448" s="48"/>
      <c r="J448" s="84" t="s">
        <v>1131</v>
      </c>
      <c r="K448" s="85"/>
      <c r="L448" s="47" t="s">
        <v>567</v>
      </c>
      <c r="M448" s="3">
        <v>2.5</v>
      </c>
      <c r="N448" s="3">
        <f t="shared" si="649"/>
        <v>2.9000000000000004</v>
      </c>
      <c r="O448" s="22">
        <v>0.46500000000000002</v>
      </c>
      <c r="P448" s="23">
        <v>1</v>
      </c>
      <c r="Q448" s="3"/>
      <c r="R448" s="3"/>
      <c r="S448" s="3"/>
      <c r="T448" s="3"/>
      <c r="U448" s="3"/>
      <c r="V448" s="23"/>
      <c r="W448" s="3"/>
      <c r="X448" s="3"/>
      <c r="Y448" s="17"/>
      <c r="Z448" s="17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12">
        <f t="shared" si="599"/>
        <v>7.2500000000000009</v>
      </c>
      <c r="AL448" s="12">
        <f t="shared" si="600"/>
        <v>7.2500000000000009</v>
      </c>
      <c r="AM448" s="12">
        <f t="shared" si="601"/>
        <v>3.3712500000000007</v>
      </c>
      <c r="AN448" s="12">
        <f t="shared" si="602"/>
        <v>3.3712500000000007</v>
      </c>
      <c r="AO448" s="12" t="str">
        <f t="shared" si="603"/>
        <v/>
      </c>
      <c r="AP448" s="12">
        <f t="shared" si="604"/>
        <v>2.5</v>
      </c>
      <c r="AQ448" s="12" t="str">
        <f t="shared" si="605"/>
        <v/>
      </c>
      <c r="AR448" s="12" t="str">
        <f t="shared" si="606"/>
        <v/>
      </c>
      <c r="AS448" s="12" t="str">
        <f t="shared" si="607"/>
        <v/>
      </c>
      <c r="AT448" s="12" t="str">
        <f t="shared" si="608"/>
        <v/>
      </c>
      <c r="AU448" s="12" t="str">
        <f t="shared" si="609"/>
        <v/>
      </c>
      <c r="AV448" s="17"/>
      <c r="AX448" s="4"/>
    </row>
    <row r="449" spans="1:50" x14ac:dyDescent="0.25">
      <c r="A449" s="43" t="s">
        <v>276</v>
      </c>
      <c r="B449" s="52" t="s">
        <v>880</v>
      </c>
      <c r="C449" s="44"/>
      <c r="D449" s="43"/>
      <c r="E449" s="52" t="s">
        <v>894</v>
      </c>
      <c r="F449" s="46"/>
      <c r="G449" s="76" t="s">
        <v>903</v>
      </c>
      <c r="H449" s="48" t="s">
        <v>1108</v>
      </c>
      <c r="I449" s="48"/>
      <c r="J449" s="84" t="s">
        <v>1131</v>
      </c>
      <c r="K449" s="85"/>
      <c r="L449" s="47" t="s">
        <v>567</v>
      </c>
      <c r="M449" s="3">
        <v>2.15</v>
      </c>
      <c r="N449" s="3">
        <f>6.45-3.5</f>
        <v>2.95</v>
      </c>
      <c r="O449" s="22">
        <v>0.46500000000000002</v>
      </c>
      <c r="P449" s="23">
        <v>1</v>
      </c>
      <c r="Q449" s="3"/>
      <c r="R449" s="3"/>
      <c r="S449" s="3"/>
      <c r="T449" s="3"/>
      <c r="U449" s="3"/>
      <c r="V449" s="23"/>
      <c r="W449" s="3"/>
      <c r="X449" s="3"/>
      <c r="Y449" s="17"/>
      <c r="Z449" s="17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12">
        <f t="shared" si="599"/>
        <v>6.3425000000000002</v>
      </c>
      <c r="AL449" s="12">
        <f t="shared" si="600"/>
        <v>6.3425000000000002</v>
      </c>
      <c r="AM449" s="12">
        <f t="shared" si="601"/>
        <v>2.9492625000000001</v>
      </c>
      <c r="AN449" s="12">
        <f t="shared" si="602"/>
        <v>2.9492625000000001</v>
      </c>
      <c r="AO449" s="12" t="str">
        <f t="shared" si="603"/>
        <v/>
      </c>
      <c r="AP449" s="12">
        <f t="shared" si="604"/>
        <v>2.15</v>
      </c>
      <c r="AQ449" s="12" t="str">
        <f t="shared" si="605"/>
        <v/>
      </c>
      <c r="AR449" s="12" t="str">
        <f t="shared" si="606"/>
        <v/>
      </c>
      <c r="AS449" s="12" t="str">
        <f t="shared" si="607"/>
        <v/>
      </c>
      <c r="AT449" s="12" t="str">
        <f t="shared" si="608"/>
        <v/>
      </c>
      <c r="AU449" s="12" t="str">
        <f t="shared" si="609"/>
        <v/>
      </c>
      <c r="AV449" s="17"/>
      <c r="AX449" s="4"/>
    </row>
    <row r="450" spans="1:50" x14ac:dyDescent="0.25">
      <c r="A450" s="43" t="s">
        <v>276</v>
      </c>
      <c r="B450" s="52" t="s">
        <v>895</v>
      </c>
      <c r="C450" s="44"/>
      <c r="D450" s="43"/>
      <c r="E450" s="52" t="s">
        <v>896</v>
      </c>
      <c r="F450" s="46"/>
      <c r="G450" s="76" t="s">
        <v>904</v>
      </c>
      <c r="H450" s="48" t="s">
        <v>1108</v>
      </c>
      <c r="I450" s="48"/>
      <c r="J450" s="84" t="s">
        <v>1131</v>
      </c>
      <c r="K450" s="85"/>
      <c r="L450" s="47" t="s">
        <v>567</v>
      </c>
      <c r="M450" s="3">
        <v>2.5</v>
      </c>
      <c r="N450" s="3">
        <f t="shared" ref="N450:N452" si="672">6.45-3.5</f>
        <v>2.95</v>
      </c>
      <c r="O450" s="22">
        <v>0.46500000000000002</v>
      </c>
      <c r="P450" s="23">
        <v>1</v>
      </c>
      <c r="Q450" s="3"/>
      <c r="R450" s="3"/>
      <c r="S450" s="3"/>
      <c r="T450" s="3"/>
      <c r="U450" s="3"/>
      <c r="V450" s="23"/>
      <c r="W450" s="3"/>
      <c r="X450" s="3"/>
      <c r="Y450" s="17"/>
      <c r="Z450" s="17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12">
        <f t="shared" si="599"/>
        <v>7.375</v>
      </c>
      <c r="AL450" s="12">
        <f t="shared" si="600"/>
        <v>7.375</v>
      </c>
      <c r="AM450" s="12">
        <f t="shared" si="601"/>
        <v>3.4293750000000003</v>
      </c>
      <c r="AN450" s="12">
        <f t="shared" si="602"/>
        <v>3.4293750000000003</v>
      </c>
      <c r="AO450" s="12" t="str">
        <f t="shared" si="603"/>
        <v/>
      </c>
      <c r="AP450" s="12">
        <f t="shared" si="604"/>
        <v>2.5</v>
      </c>
      <c r="AQ450" s="12" t="str">
        <f t="shared" si="605"/>
        <v/>
      </c>
      <c r="AR450" s="12" t="str">
        <f t="shared" si="606"/>
        <v/>
      </c>
      <c r="AS450" s="12" t="str">
        <f t="shared" si="607"/>
        <v/>
      </c>
      <c r="AT450" s="12" t="str">
        <f t="shared" si="608"/>
        <v/>
      </c>
      <c r="AU450" s="12" t="str">
        <f t="shared" si="609"/>
        <v/>
      </c>
      <c r="AV450" s="17"/>
      <c r="AX450" s="4"/>
    </row>
    <row r="451" spans="1:50" x14ac:dyDescent="0.25">
      <c r="A451" s="43" t="s">
        <v>276</v>
      </c>
      <c r="B451" s="52" t="s">
        <v>897</v>
      </c>
      <c r="C451" s="44"/>
      <c r="D451" s="43"/>
      <c r="E451" s="52" t="s">
        <v>898</v>
      </c>
      <c r="F451" s="46"/>
      <c r="G451" s="76" t="s">
        <v>905</v>
      </c>
      <c r="H451" s="48" t="s">
        <v>1108</v>
      </c>
      <c r="I451" s="48"/>
      <c r="J451" s="84" t="s">
        <v>1131</v>
      </c>
      <c r="K451" s="85"/>
      <c r="L451" s="47" t="s">
        <v>567</v>
      </c>
      <c r="M451" s="3">
        <v>2.5</v>
      </c>
      <c r="N451" s="3">
        <f t="shared" si="672"/>
        <v>2.95</v>
      </c>
      <c r="O451" s="22">
        <v>0.46500000000000002</v>
      </c>
      <c r="P451" s="23">
        <v>1</v>
      </c>
      <c r="Q451" s="3"/>
      <c r="R451" s="3"/>
      <c r="S451" s="3"/>
      <c r="T451" s="3"/>
      <c r="U451" s="3"/>
      <c r="V451" s="23"/>
      <c r="W451" s="3"/>
      <c r="X451" s="3"/>
      <c r="Y451" s="17"/>
      <c r="Z451" s="17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12">
        <f t="shared" si="599"/>
        <v>7.375</v>
      </c>
      <c r="AL451" s="12">
        <f t="shared" si="600"/>
        <v>7.375</v>
      </c>
      <c r="AM451" s="12">
        <f t="shared" si="601"/>
        <v>3.4293750000000003</v>
      </c>
      <c r="AN451" s="12">
        <f t="shared" si="602"/>
        <v>3.4293750000000003</v>
      </c>
      <c r="AO451" s="12" t="str">
        <f t="shared" si="603"/>
        <v/>
      </c>
      <c r="AP451" s="12">
        <f t="shared" si="604"/>
        <v>2.5</v>
      </c>
      <c r="AQ451" s="12" t="str">
        <f t="shared" si="605"/>
        <v/>
      </c>
      <c r="AR451" s="12" t="str">
        <f t="shared" si="606"/>
        <v/>
      </c>
      <c r="AS451" s="12" t="str">
        <f t="shared" si="607"/>
        <v/>
      </c>
      <c r="AT451" s="12" t="str">
        <f t="shared" si="608"/>
        <v/>
      </c>
      <c r="AU451" s="12" t="str">
        <f t="shared" si="609"/>
        <v/>
      </c>
      <c r="AV451" s="17"/>
      <c r="AX451" s="4"/>
    </row>
    <row r="452" spans="1:50" x14ac:dyDescent="0.25">
      <c r="A452" s="43" t="s">
        <v>276</v>
      </c>
      <c r="B452" s="52" t="s">
        <v>885</v>
      </c>
      <c r="C452" s="44"/>
      <c r="D452" s="43"/>
      <c r="E452" s="52" t="s">
        <v>633</v>
      </c>
      <c r="F452" s="46"/>
      <c r="G452" s="76" t="s">
        <v>906</v>
      </c>
      <c r="H452" s="48" t="s">
        <v>1115</v>
      </c>
      <c r="I452" s="48"/>
      <c r="J452" s="84" t="s">
        <v>1131</v>
      </c>
      <c r="K452" s="85"/>
      <c r="L452" s="47" t="s">
        <v>567</v>
      </c>
      <c r="M452" s="3">
        <v>2.15</v>
      </c>
      <c r="N452" s="3">
        <f t="shared" si="672"/>
        <v>2.95</v>
      </c>
      <c r="O452" s="22">
        <v>0.26500000000000001</v>
      </c>
      <c r="P452" s="23">
        <v>1</v>
      </c>
      <c r="Q452" s="3"/>
      <c r="R452" s="3"/>
      <c r="S452" s="3"/>
      <c r="T452" s="3"/>
      <c r="U452" s="3"/>
      <c r="V452" s="23"/>
      <c r="W452" s="3"/>
      <c r="X452" s="3"/>
      <c r="Y452" s="17"/>
      <c r="Z452" s="17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12">
        <f t="shared" si="575"/>
        <v>6.3425000000000002</v>
      </c>
      <c r="AL452" s="12">
        <f t="shared" si="576"/>
        <v>6.3425000000000002</v>
      </c>
      <c r="AM452" s="12">
        <f t="shared" si="577"/>
        <v>1.6807625000000002</v>
      </c>
      <c r="AN452" s="12">
        <f t="shared" si="578"/>
        <v>1.6807625000000002</v>
      </c>
      <c r="AO452" s="12" t="str">
        <f t="shared" si="579"/>
        <v/>
      </c>
      <c r="AP452" s="12">
        <f t="shared" si="580"/>
        <v>2.15</v>
      </c>
      <c r="AQ452" s="12" t="str">
        <f t="shared" si="581"/>
        <v/>
      </c>
      <c r="AR452" s="12" t="str">
        <f t="shared" si="582"/>
        <v/>
      </c>
      <c r="AS452" s="12" t="str">
        <f t="shared" si="583"/>
        <v/>
      </c>
      <c r="AT452" s="12" t="str">
        <f t="shared" si="584"/>
        <v/>
      </c>
      <c r="AU452" s="12" t="str">
        <f>IF(OR(H452="s1",H452="s2",H452="s3",H452="s4",H452="s4*",H452="s5",H452="s12",H452="s16"),IF(M452&gt;=4,M452,""),"")</f>
        <v/>
      </c>
      <c r="AV452" s="17"/>
      <c r="AX452" s="4"/>
    </row>
    <row r="453" spans="1:50" x14ac:dyDescent="0.25">
      <c r="A453" s="43" t="s">
        <v>276</v>
      </c>
      <c r="B453" s="52" t="s">
        <v>1185</v>
      </c>
      <c r="C453" s="44"/>
      <c r="D453" s="43"/>
      <c r="E453" s="52"/>
      <c r="F453" s="46"/>
      <c r="G453" s="76"/>
      <c r="H453" s="48" t="s">
        <v>1183</v>
      </c>
      <c r="I453" s="48"/>
      <c r="J453" s="84"/>
      <c r="K453" s="85"/>
      <c r="L453" s="47" t="s">
        <v>1184</v>
      </c>
      <c r="M453" s="3">
        <f>6.7+1.05</f>
        <v>7.75</v>
      </c>
      <c r="N453" s="3">
        <v>0.85</v>
      </c>
      <c r="O453" s="22">
        <v>0.3</v>
      </c>
      <c r="P453" s="23">
        <v>1</v>
      </c>
      <c r="Q453" s="3"/>
      <c r="R453" s="3"/>
      <c r="S453" s="3"/>
      <c r="T453" s="3"/>
      <c r="U453" s="3"/>
      <c r="V453" s="23"/>
      <c r="W453" s="3"/>
      <c r="X453" s="3"/>
      <c r="Y453" s="17"/>
      <c r="Z453" s="17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12">
        <f t="shared" ref="AK453" si="673">IF(((M453*N453)-Q453-R453-S453+T453+U453)=0,"",((M453*N453)-Q453-R453-S453+T453+U453))</f>
        <v>6.5874999999999995</v>
      </c>
      <c r="AL453" s="12">
        <f t="shared" ref="AL453" si="674">IF(PRODUCT(P453,AK453)=0,"",P453*AK453)</f>
        <v>6.5874999999999995</v>
      </c>
      <c r="AM453" s="12">
        <f t="shared" ref="AM453" si="675">IF(PRODUCT(AK453,O453)=0,"",AK453*O453)</f>
        <v>1.9762499999999998</v>
      </c>
      <c r="AN453" s="12">
        <f t="shared" ref="AN453" si="676">IF(PRODUCT(AM453,P453)=0,"",AM453*P453)</f>
        <v>1.9762499999999998</v>
      </c>
      <c r="AO453" s="12" t="str">
        <f t="shared" ref="AO453" si="677">IF(N453*V453-W453+X453=0,"",N453*V453-W453+X453)</f>
        <v/>
      </c>
      <c r="AP453" s="12">
        <f t="shared" ref="AP453" si="678">IF(PRODUCT(M453,P453)=0,"",M453*P453)</f>
        <v>7.75</v>
      </c>
      <c r="AQ453" s="12" t="str">
        <f t="shared" ref="AQ453" si="679">IF(AA453+AB453=0,"",AA453+AB453)</f>
        <v/>
      </c>
      <c r="AR453" s="12" t="str">
        <f t="shared" ref="AR453" si="680">IF(AC453+AD453=0,"",AC453+AD453)</f>
        <v/>
      </c>
      <c r="AS453" s="12" t="str">
        <f t="shared" ref="AS453" si="681">IF((AE453*AH453*AI453)*P453=0,"",(AE453*AH453*AI453)*P453)</f>
        <v/>
      </c>
      <c r="AT453" s="12" t="str">
        <f t="shared" ref="AT453" si="682">IF(AJ453*P453=0,"",AJ453*P453)</f>
        <v/>
      </c>
      <c r="AU453" s="12" t="str">
        <f>IF(OR(H453="s1",H453="s2",H453="s3",H453="s4",H453="s4*",H453="s5",H453="s12",H453="s16"),IF(M453&gt;=4,M453,""),"")</f>
        <v/>
      </c>
      <c r="AV453" s="17"/>
      <c r="AX453" s="4"/>
    </row>
    <row r="454" spans="1:50" x14ac:dyDescent="0.25">
      <c r="A454" s="43"/>
      <c r="B454" s="52"/>
      <c r="C454" s="44"/>
      <c r="D454" s="43"/>
      <c r="E454" s="52"/>
      <c r="F454" s="46"/>
      <c r="G454" s="76"/>
      <c r="H454" s="48"/>
      <c r="I454" s="48"/>
      <c r="J454" s="84"/>
      <c r="K454" s="85"/>
      <c r="L454" s="47"/>
      <c r="M454" s="3"/>
      <c r="N454" s="3"/>
      <c r="O454" s="22"/>
      <c r="P454" s="23"/>
      <c r="Q454" s="3"/>
      <c r="R454" s="3"/>
      <c r="S454" s="3"/>
      <c r="T454" s="3"/>
      <c r="U454" s="3"/>
      <c r="V454" s="23"/>
      <c r="W454" s="3"/>
      <c r="X454" s="3"/>
      <c r="Y454" s="17"/>
      <c r="Z454" s="17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12" t="str">
        <f t="shared" si="551"/>
        <v/>
      </c>
      <c r="AL454" s="12" t="str">
        <f t="shared" si="552"/>
        <v/>
      </c>
      <c r="AM454" s="12" t="str">
        <f t="shared" si="553"/>
        <v/>
      </c>
      <c r="AN454" s="12" t="str">
        <f t="shared" si="554"/>
        <v/>
      </c>
      <c r="AO454" s="12" t="str">
        <f t="shared" si="555"/>
        <v/>
      </c>
      <c r="AP454" s="12" t="str">
        <f t="shared" si="556"/>
        <v/>
      </c>
      <c r="AQ454" s="12" t="str">
        <f t="shared" si="557"/>
        <v/>
      </c>
      <c r="AR454" s="12" t="str">
        <f t="shared" si="558"/>
        <v/>
      </c>
      <c r="AS454" s="12" t="str">
        <f t="shared" si="559"/>
        <v/>
      </c>
      <c r="AT454" s="12" t="str">
        <f t="shared" si="560"/>
        <v/>
      </c>
      <c r="AU454" s="12" t="str">
        <f t="shared" si="561"/>
        <v/>
      </c>
      <c r="AV454" s="17"/>
      <c r="AX454" s="4"/>
    </row>
    <row r="455" spans="1:50" x14ac:dyDescent="0.25">
      <c r="A455" s="53" t="s">
        <v>373</v>
      </c>
      <c r="B455" s="52"/>
      <c r="C455" s="44"/>
      <c r="D455" s="43"/>
      <c r="E455" s="52"/>
      <c r="F455" s="46"/>
      <c r="G455" s="76"/>
      <c r="H455" s="48"/>
      <c r="I455" s="48"/>
      <c r="J455" s="84"/>
      <c r="K455" s="85"/>
      <c r="L455" s="47"/>
      <c r="M455" s="3"/>
      <c r="N455" s="3"/>
      <c r="O455" s="22"/>
      <c r="P455" s="23"/>
      <c r="Q455" s="3"/>
      <c r="R455" s="3"/>
      <c r="S455" s="3"/>
      <c r="T455" s="3"/>
      <c r="U455" s="3"/>
      <c r="V455" s="23"/>
      <c r="W455" s="3"/>
      <c r="X455" s="3"/>
      <c r="Y455" s="17"/>
      <c r="Z455" s="17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12" t="str">
        <f t="shared" si="551"/>
        <v/>
      </c>
      <c r="AL455" s="12" t="str">
        <f t="shared" si="552"/>
        <v/>
      </c>
      <c r="AM455" s="12" t="str">
        <f t="shared" si="553"/>
        <v/>
      </c>
      <c r="AN455" s="12" t="str">
        <f t="shared" si="554"/>
        <v/>
      </c>
      <c r="AO455" s="12" t="str">
        <f t="shared" si="555"/>
        <v/>
      </c>
      <c r="AP455" s="12" t="str">
        <f t="shared" si="556"/>
        <v/>
      </c>
      <c r="AQ455" s="12" t="str">
        <f t="shared" si="557"/>
        <v/>
      </c>
      <c r="AR455" s="12" t="str">
        <f t="shared" si="558"/>
        <v/>
      </c>
      <c r="AS455" s="12" t="str">
        <f t="shared" si="559"/>
        <v/>
      </c>
      <c r="AT455" s="12" t="str">
        <f t="shared" si="560"/>
        <v/>
      </c>
      <c r="AU455" s="12" t="str">
        <f t="shared" si="561"/>
        <v/>
      </c>
      <c r="AV455" s="17"/>
      <c r="AX455" s="4"/>
    </row>
    <row r="456" spans="1:50" x14ac:dyDescent="0.25">
      <c r="A456" s="43" t="s">
        <v>374</v>
      </c>
      <c r="B456" s="52"/>
      <c r="C456" s="44"/>
      <c r="D456" s="43"/>
      <c r="E456" s="52"/>
      <c r="F456" s="46"/>
      <c r="G456" s="76" t="s">
        <v>375</v>
      </c>
      <c r="H456" s="48" t="s">
        <v>334</v>
      </c>
      <c r="I456" s="48"/>
      <c r="J456" s="84"/>
      <c r="K456" s="85"/>
      <c r="L456" s="47" t="s">
        <v>330</v>
      </c>
      <c r="M456" s="3">
        <v>0.41499999999999998</v>
      </c>
      <c r="N456" s="3">
        <f>9.55-6.65</f>
        <v>2.9000000000000004</v>
      </c>
      <c r="O456" s="22">
        <v>0.2</v>
      </c>
      <c r="P456" s="23">
        <v>1</v>
      </c>
      <c r="Q456" s="3"/>
      <c r="R456" s="3"/>
      <c r="S456" s="3"/>
      <c r="T456" s="3"/>
      <c r="U456" s="3"/>
      <c r="V456" s="23"/>
      <c r="W456" s="3"/>
      <c r="X456" s="3"/>
      <c r="Y456" s="17"/>
      <c r="Z456" s="17"/>
      <c r="AA456" s="3">
        <f>0.2*2*2.9</f>
        <v>1.1599999999999999</v>
      </c>
      <c r="AB456" s="3"/>
      <c r="AC456" s="3">
        <f t="shared" ref="AC456:AC457" si="683">M456*N456*2</f>
        <v>2.407</v>
      </c>
      <c r="AD456" s="3"/>
      <c r="AE456" s="3"/>
      <c r="AF456" s="3"/>
      <c r="AG456" s="3"/>
      <c r="AH456" s="3"/>
      <c r="AI456" s="3"/>
      <c r="AJ456" s="3"/>
      <c r="AK456" s="12">
        <f t="shared" si="404"/>
        <v>1.2035</v>
      </c>
      <c r="AL456" s="12">
        <f t="shared" si="405"/>
        <v>1.2035</v>
      </c>
      <c r="AM456" s="12">
        <f t="shared" si="406"/>
        <v>0.24070000000000003</v>
      </c>
      <c r="AN456" s="12">
        <f t="shared" si="407"/>
        <v>0.24070000000000003</v>
      </c>
      <c r="AO456" s="12" t="str">
        <f t="shared" si="408"/>
        <v/>
      </c>
      <c r="AP456" s="12">
        <f t="shared" si="409"/>
        <v>0.41499999999999998</v>
      </c>
      <c r="AQ456" s="12">
        <f t="shared" si="410"/>
        <v>1.1599999999999999</v>
      </c>
      <c r="AR456" s="12">
        <f t="shared" si="411"/>
        <v>2.407</v>
      </c>
      <c r="AS456" s="12" t="str">
        <f t="shared" si="413"/>
        <v/>
      </c>
      <c r="AT456" s="12" t="str">
        <f t="shared" si="379"/>
        <v/>
      </c>
      <c r="AU456" s="12" t="str">
        <f t="shared" si="401"/>
        <v/>
      </c>
      <c r="AV456" s="17"/>
      <c r="AX456" s="4"/>
    </row>
    <row r="457" spans="1:50" x14ac:dyDescent="0.25">
      <c r="A457" s="43" t="s">
        <v>374</v>
      </c>
      <c r="B457" s="52"/>
      <c r="C457" s="44"/>
      <c r="D457" s="43"/>
      <c r="E457" s="52"/>
      <c r="F457" s="46"/>
      <c r="G457" s="76" t="s">
        <v>376</v>
      </c>
      <c r="H457" s="48" t="s">
        <v>334</v>
      </c>
      <c r="I457" s="48"/>
      <c r="J457" s="84"/>
      <c r="K457" s="85"/>
      <c r="L457" s="47"/>
      <c r="M457" s="3">
        <f>1.55+1.25+2+0.95+1.05+0.2</f>
        <v>7</v>
      </c>
      <c r="N457" s="3">
        <f t="shared" ref="N457:N463" si="684">9.55-6.65</f>
        <v>2.9000000000000004</v>
      </c>
      <c r="O457" s="22">
        <v>0.2</v>
      </c>
      <c r="P457" s="23">
        <v>1</v>
      </c>
      <c r="Q457" s="3"/>
      <c r="R457" s="3">
        <f>1.25*2.65+0.95*2.65</f>
        <v>5.83</v>
      </c>
      <c r="S457" s="3"/>
      <c r="T457" s="3"/>
      <c r="U457" s="3"/>
      <c r="V457" s="23"/>
      <c r="W457" s="3"/>
      <c r="X457" s="3"/>
      <c r="Y457" s="17"/>
      <c r="Z457" s="17"/>
      <c r="AA457" s="3">
        <f>(1.25+0.95+2.65*4)*0.2+0.2*2*2.9</f>
        <v>3.7200000000000006</v>
      </c>
      <c r="AB457" s="3"/>
      <c r="AC457" s="3">
        <f t="shared" si="683"/>
        <v>40.600000000000009</v>
      </c>
      <c r="AD457" s="3">
        <f>-R457*2</f>
        <v>-11.66</v>
      </c>
      <c r="AE457" s="3"/>
      <c r="AF457" s="3"/>
      <c r="AG457" s="3"/>
      <c r="AH457" s="3"/>
      <c r="AI457" s="3"/>
      <c r="AJ457" s="3"/>
      <c r="AK457" s="12">
        <f t="shared" si="404"/>
        <v>14.470000000000004</v>
      </c>
      <c r="AL457" s="12">
        <f t="shared" si="405"/>
        <v>14.470000000000004</v>
      </c>
      <c r="AM457" s="12">
        <f t="shared" si="406"/>
        <v>2.894000000000001</v>
      </c>
      <c r="AN457" s="12">
        <f t="shared" si="407"/>
        <v>2.894000000000001</v>
      </c>
      <c r="AO457" s="12" t="str">
        <f t="shared" si="408"/>
        <v/>
      </c>
      <c r="AP457" s="12">
        <f t="shared" si="409"/>
        <v>7</v>
      </c>
      <c r="AQ457" s="12">
        <f t="shared" si="410"/>
        <v>3.7200000000000006</v>
      </c>
      <c r="AR457" s="12">
        <f t="shared" si="411"/>
        <v>28.940000000000008</v>
      </c>
      <c r="AS457" s="12" t="str">
        <f t="shared" si="413"/>
        <v/>
      </c>
      <c r="AT457" s="12" t="str">
        <f t="shared" si="379"/>
        <v/>
      </c>
      <c r="AU457" s="12" t="str">
        <f t="shared" si="401"/>
        <v/>
      </c>
      <c r="AV457" s="17"/>
      <c r="AX457" s="4"/>
    </row>
    <row r="458" spans="1:50" x14ac:dyDescent="0.25">
      <c r="A458" s="43" t="s">
        <v>374</v>
      </c>
      <c r="B458" s="52"/>
      <c r="C458" s="44"/>
      <c r="D458" s="43"/>
      <c r="E458" s="52"/>
      <c r="F458" s="46"/>
      <c r="G458" s="76" t="s">
        <v>377</v>
      </c>
      <c r="H458" s="48" t="s">
        <v>334</v>
      </c>
      <c r="I458" s="48"/>
      <c r="J458" s="84"/>
      <c r="K458" s="85"/>
      <c r="L458" s="47"/>
      <c r="M458" s="3">
        <f>1.45+1.07+0.95+1.15+1.47+0.76</f>
        <v>6.8499999999999988</v>
      </c>
      <c r="N458" s="3">
        <f t="shared" si="684"/>
        <v>2.9000000000000004</v>
      </c>
      <c r="O458" s="22">
        <v>0.2</v>
      </c>
      <c r="P458" s="23">
        <v>1</v>
      </c>
      <c r="Q458" s="3"/>
      <c r="R458" s="3">
        <f>1.45*2.65+0.95*2.65+1.47*2.65</f>
        <v>10.2555</v>
      </c>
      <c r="S458" s="3"/>
      <c r="T458" s="3"/>
      <c r="U458" s="3"/>
      <c r="V458" s="23"/>
      <c r="W458" s="3"/>
      <c r="X458" s="3"/>
      <c r="Y458" s="17"/>
      <c r="Z458" s="17"/>
      <c r="AA458" s="3">
        <f>(1.45+0.95+1.47+2.65*7)*0.2</f>
        <v>4.4840000000000009</v>
      </c>
      <c r="AB458" s="3"/>
      <c r="AC458" s="3">
        <f t="shared" ref="AC458" si="685">M458*N458*2</f>
        <v>39.729999999999997</v>
      </c>
      <c r="AD458" s="3">
        <f>-R458*2</f>
        <v>-20.510999999999999</v>
      </c>
      <c r="AE458" s="3"/>
      <c r="AF458" s="3"/>
      <c r="AG458" s="3"/>
      <c r="AH458" s="3"/>
      <c r="AI458" s="3"/>
      <c r="AJ458" s="3"/>
      <c r="AK458" s="12">
        <f t="shared" si="404"/>
        <v>9.6094999999999988</v>
      </c>
      <c r="AL458" s="12">
        <f t="shared" si="405"/>
        <v>9.6094999999999988</v>
      </c>
      <c r="AM458" s="12">
        <f t="shared" si="406"/>
        <v>1.9218999999999999</v>
      </c>
      <c r="AN458" s="12">
        <f t="shared" si="407"/>
        <v>1.9218999999999999</v>
      </c>
      <c r="AO458" s="12" t="str">
        <f t="shared" si="408"/>
        <v/>
      </c>
      <c r="AP458" s="12">
        <f t="shared" si="409"/>
        <v>6.8499999999999988</v>
      </c>
      <c r="AQ458" s="12">
        <f t="shared" si="410"/>
        <v>4.4840000000000009</v>
      </c>
      <c r="AR458" s="12">
        <f t="shared" si="411"/>
        <v>19.218999999999998</v>
      </c>
      <c r="AS458" s="12" t="str">
        <f t="shared" si="413"/>
        <v/>
      </c>
      <c r="AT458" s="12" t="str">
        <f t="shared" si="379"/>
        <v/>
      </c>
      <c r="AU458" s="12" t="str">
        <f t="shared" si="401"/>
        <v/>
      </c>
      <c r="AV458" s="17"/>
      <c r="AX458" s="4"/>
    </row>
    <row r="459" spans="1:50" x14ac:dyDescent="0.25">
      <c r="A459" s="43" t="s">
        <v>374</v>
      </c>
      <c r="B459" s="52"/>
      <c r="C459" s="44"/>
      <c r="D459" s="43"/>
      <c r="E459" s="52"/>
      <c r="F459" s="46"/>
      <c r="G459" s="76" t="s">
        <v>378</v>
      </c>
      <c r="H459" s="48" t="s">
        <v>334</v>
      </c>
      <c r="I459" s="48"/>
      <c r="J459" s="84"/>
      <c r="K459" s="85"/>
      <c r="L459" s="47"/>
      <c r="M459" s="3">
        <f>4.17+1.15+0.7</f>
        <v>6.0200000000000005</v>
      </c>
      <c r="N459" s="3">
        <f t="shared" si="684"/>
        <v>2.9000000000000004</v>
      </c>
      <c r="O459" s="22">
        <v>0.2</v>
      </c>
      <c r="P459" s="23">
        <v>1</v>
      </c>
      <c r="Q459" s="3"/>
      <c r="R459" s="3">
        <f>1.15*2.65</f>
        <v>3.0474999999999999</v>
      </c>
      <c r="S459" s="3"/>
      <c r="T459" s="3"/>
      <c r="U459" s="3"/>
      <c r="V459" s="23"/>
      <c r="W459" s="3"/>
      <c r="X459" s="3"/>
      <c r="Y459" s="17"/>
      <c r="Z459" s="17"/>
      <c r="AA459" s="3">
        <f>(1.15+2.65*4)*0.2</f>
        <v>2.35</v>
      </c>
      <c r="AB459" s="3"/>
      <c r="AC459" s="3">
        <f t="shared" ref="AC459:AC460" si="686">M459*N459*2</f>
        <v>34.916000000000004</v>
      </c>
      <c r="AD459" s="3">
        <f>-R459*2</f>
        <v>-6.0949999999999998</v>
      </c>
      <c r="AE459" s="3"/>
      <c r="AF459" s="3"/>
      <c r="AG459" s="3"/>
      <c r="AH459" s="3"/>
      <c r="AI459" s="3"/>
      <c r="AJ459" s="3"/>
      <c r="AK459" s="12">
        <f t="shared" si="404"/>
        <v>14.410500000000003</v>
      </c>
      <c r="AL459" s="12">
        <f t="shared" si="405"/>
        <v>14.410500000000003</v>
      </c>
      <c r="AM459" s="12">
        <f t="shared" si="406"/>
        <v>2.8821000000000008</v>
      </c>
      <c r="AN459" s="12">
        <f t="shared" si="407"/>
        <v>2.8821000000000008</v>
      </c>
      <c r="AO459" s="12" t="str">
        <f t="shared" si="408"/>
        <v/>
      </c>
      <c r="AP459" s="12">
        <f t="shared" si="409"/>
        <v>6.0200000000000005</v>
      </c>
      <c r="AQ459" s="12">
        <f t="shared" si="410"/>
        <v>2.35</v>
      </c>
      <c r="AR459" s="12">
        <f t="shared" si="411"/>
        <v>28.821000000000005</v>
      </c>
      <c r="AS459" s="12" t="str">
        <f t="shared" si="413"/>
        <v/>
      </c>
      <c r="AT459" s="12" t="str">
        <f t="shared" si="379"/>
        <v/>
      </c>
      <c r="AU459" s="12" t="str">
        <f t="shared" si="401"/>
        <v/>
      </c>
      <c r="AV459" s="17"/>
      <c r="AX459" s="4"/>
    </row>
    <row r="460" spans="1:50" x14ac:dyDescent="0.25">
      <c r="A460" s="43" t="s">
        <v>374</v>
      </c>
      <c r="B460" s="52"/>
      <c r="C460" s="44"/>
      <c r="D460" s="43"/>
      <c r="E460" s="52"/>
      <c r="F460" s="46"/>
      <c r="G460" s="76" t="s">
        <v>379</v>
      </c>
      <c r="H460" s="48" t="s">
        <v>334</v>
      </c>
      <c r="I460" s="48"/>
      <c r="J460" s="84"/>
      <c r="K460" s="85"/>
      <c r="L460" s="47"/>
      <c r="M460" s="3">
        <v>0.41499999999999998</v>
      </c>
      <c r="N460" s="3">
        <f t="shared" si="684"/>
        <v>2.9000000000000004</v>
      </c>
      <c r="O460" s="22">
        <v>0.2</v>
      </c>
      <c r="P460" s="23">
        <v>1</v>
      </c>
      <c r="Q460" s="3"/>
      <c r="R460" s="3"/>
      <c r="S460" s="3"/>
      <c r="T460" s="3"/>
      <c r="U460" s="3"/>
      <c r="V460" s="23"/>
      <c r="W460" s="3"/>
      <c r="X460" s="3"/>
      <c r="Y460" s="17"/>
      <c r="Z460" s="17"/>
      <c r="AA460" s="3">
        <f>0.2*2*2.9</f>
        <v>1.1599999999999999</v>
      </c>
      <c r="AB460" s="3"/>
      <c r="AC460" s="3">
        <f t="shared" si="686"/>
        <v>2.407</v>
      </c>
      <c r="AD460" s="3"/>
      <c r="AE460" s="3"/>
      <c r="AF460" s="3"/>
      <c r="AG460" s="3"/>
      <c r="AH460" s="3"/>
      <c r="AI460" s="3"/>
      <c r="AJ460" s="3"/>
      <c r="AK460" s="12">
        <f t="shared" si="404"/>
        <v>1.2035</v>
      </c>
      <c r="AL460" s="12">
        <f t="shared" si="405"/>
        <v>1.2035</v>
      </c>
      <c r="AM460" s="12">
        <f t="shared" si="406"/>
        <v>0.24070000000000003</v>
      </c>
      <c r="AN460" s="12">
        <f t="shared" si="407"/>
        <v>0.24070000000000003</v>
      </c>
      <c r="AO460" s="12" t="str">
        <f t="shared" si="408"/>
        <v/>
      </c>
      <c r="AP460" s="12">
        <f t="shared" si="409"/>
        <v>0.41499999999999998</v>
      </c>
      <c r="AQ460" s="12">
        <f t="shared" si="410"/>
        <v>1.1599999999999999</v>
      </c>
      <c r="AR460" s="12">
        <f t="shared" si="411"/>
        <v>2.407</v>
      </c>
      <c r="AS460" s="12" t="str">
        <f t="shared" si="413"/>
        <v/>
      </c>
      <c r="AT460" s="12" t="str">
        <f t="shared" si="379"/>
        <v/>
      </c>
      <c r="AU460" s="12" t="str">
        <f t="shared" si="401"/>
        <v/>
      </c>
      <c r="AV460" s="17"/>
      <c r="AX460" s="4"/>
    </row>
    <row r="461" spans="1:50" x14ac:dyDescent="0.25">
      <c r="A461" s="43" t="s">
        <v>374</v>
      </c>
      <c r="B461" s="52"/>
      <c r="C461" s="44"/>
      <c r="D461" s="43"/>
      <c r="E461" s="52"/>
      <c r="F461" s="46"/>
      <c r="G461" s="76" t="s">
        <v>380</v>
      </c>
      <c r="H461" s="48" t="s">
        <v>334</v>
      </c>
      <c r="I461" s="48"/>
      <c r="J461" s="84"/>
      <c r="K461" s="85"/>
      <c r="L461" s="47"/>
      <c r="M461" s="3">
        <f>1.25+0.95+2+1.25+1.55</f>
        <v>7</v>
      </c>
      <c r="N461" s="3">
        <f t="shared" si="684"/>
        <v>2.9000000000000004</v>
      </c>
      <c r="O461" s="22">
        <v>0.2</v>
      </c>
      <c r="P461" s="23">
        <v>1</v>
      </c>
      <c r="Q461" s="3"/>
      <c r="R461" s="3">
        <f>0.95*2.2+1.25*2.2</f>
        <v>4.84</v>
      </c>
      <c r="S461" s="3"/>
      <c r="T461" s="3"/>
      <c r="U461" s="3"/>
      <c r="V461" s="23"/>
      <c r="W461" s="3"/>
      <c r="X461" s="3"/>
      <c r="Y461" s="17"/>
      <c r="Z461" s="17"/>
      <c r="AA461" s="3">
        <f>(0.95+1.25+2.2*4)*0.2+0.2*2*2.9</f>
        <v>3.3600000000000003</v>
      </c>
      <c r="AB461" s="3"/>
      <c r="AC461" s="3">
        <f t="shared" ref="AC461" si="687">M461*N461*2</f>
        <v>40.600000000000009</v>
      </c>
      <c r="AD461" s="3">
        <f>-R461*2</f>
        <v>-9.68</v>
      </c>
      <c r="AE461" s="3"/>
      <c r="AF461" s="3"/>
      <c r="AG461" s="3"/>
      <c r="AH461" s="3"/>
      <c r="AI461" s="3"/>
      <c r="AJ461" s="3"/>
      <c r="AK461" s="12">
        <f t="shared" si="404"/>
        <v>15.460000000000004</v>
      </c>
      <c r="AL461" s="12">
        <f t="shared" si="405"/>
        <v>15.460000000000004</v>
      </c>
      <c r="AM461" s="12">
        <f t="shared" si="406"/>
        <v>3.092000000000001</v>
      </c>
      <c r="AN461" s="12">
        <f t="shared" si="407"/>
        <v>3.092000000000001</v>
      </c>
      <c r="AO461" s="12" t="str">
        <f t="shared" si="408"/>
        <v/>
      </c>
      <c r="AP461" s="12">
        <f t="shared" si="409"/>
        <v>7</v>
      </c>
      <c r="AQ461" s="12">
        <f t="shared" si="410"/>
        <v>3.3600000000000003</v>
      </c>
      <c r="AR461" s="12">
        <f t="shared" si="411"/>
        <v>30.920000000000009</v>
      </c>
      <c r="AS461" s="12" t="str">
        <f t="shared" si="413"/>
        <v/>
      </c>
      <c r="AT461" s="12" t="str">
        <f t="shared" si="379"/>
        <v/>
      </c>
      <c r="AU461" s="12" t="str">
        <f t="shared" si="401"/>
        <v/>
      </c>
      <c r="AV461" s="17"/>
      <c r="AX461" s="4"/>
    </row>
    <row r="462" spans="1:50" x14ac:dyDescent="0.25">
      <c r="A462" s="43" t="s">
        <v>374</v>
      </c>
      <c r="B462" s="52"/>
      <c r="C462" s="44"/>
      <c r="D462" s="43"/>
      <c r="E462" s="52"/>
      <c r="F462" s="46"/>
      <c r="G462" s="76" t="s">
        <v>381</v>
      </c>
      <c r="H462" s="48" t="s">
        <v>334</v>
      </c>
      <c r="I462" s="48"/>
      <c r="J462" s="84"/>
      <c r="K462" s="85"/>
      <c r="L462" s="47"/>
      <c r="M462" s="3">
        <f>0.805+1.47+1.25+0.95+0.97+1.45</f>
        <v>6.8949999999999996</v>
      </c>
      <c r="N462" s="3">
        <f t="shared" si="684"/>
        <v>2.9000000000000004</v>
      </c>
      <c r="O462" s="22">
        <v>0.2</v>
      </c>
      <c r="P462" s="23">
        <v>1</v>
      </c>
      <c r="Q462" s="3"/>
      <c r="R462" s="3">
        <f>1.47*2.65+0.95*2.2+1.45*2.2</f>
        <v>9.1754999999999995</v>
      </c>
      <c r="S462" s="3"/>
      <c r="T462" s="3"/>
      <c r="U462" s="3"/>
      <c r="V462" s="23"/>
      <c r="W462" s="3"/>
      <c r="X462" s="3"/>
      <c r="Y462" s="17"/>
      <c r="Z462" s="17"/>
      <c r="AA462" s="3">
        <f>(1.47+0.95+1.45+2.65*2+2.2*3)*0.2+0.2*(2.9-2.65)</f>
        <v>3.2039999999999997</v>
      </c>
      <c r="AB462" s="3"/>
      <c r="AC462" s="3">
        <f t="shared" ref="AC462" si="688">M462*N462*2</f>
        <v>39.991</v>
      </c>
      <c r="AD462" s="3">
        <f>-R462*2</f>
        <v>-18.350999999999999</v>
      </c>
      <c r="AE462" s="3"/>
      <c r="AF462" s="3"/>
      <c r="AG462" s="3"/>
      <c r="AH462" s="3"/>
      <c r="AI462" s="3"/>
      <c r="AJ462" s="3"/>
      <c r="AK462" s="12">
        <f t="shared" si="404"/>
        <v>10.82</v>
      </c>
      <c r="AL462" s="12">
        <f t="shared" si="405"/>
        <v>10.82</v>
      </c>
      <c r="AM462" s="12">
        <f t="shared" si="406"/>
        <v>2.1640000000000001</v>
      </c>
      <c r="AN462" s="12">
        <f t="shared" si="407"/>
        <v>2.1640000000000001</v>
      </c>
      <c r="AO462" s="12" t="str">
        <f t="shared" si="408"/>
        <v/>
      </c>
      <c r="AP462" s="12">
        <f t="shared" si="409"/>
        <v>6.8949999999999996</v>
      </c>
      <c r="AQ462" s="12">
        <f t="shared" si="410"/>
        <v>3.2039999999999997</v>
      </c>
      <c r="AR462" s="12">
        <f t="shared" si="411"/>
        <v>21.64</v>
      </c>
      <c r="AS462" s="12" t="str">
        <f t="shared" si="413"/>
        <v/>
      </c>
      <c r="AT462" s="12" t="str">
        <f t="shared" si="379"/>
        <v/>
      </c>
      <c r="AU462" s="12" t="str">
        <f t="shared" si="401"/>
        <v/>
      </c>
      <c r="AV462" s="17"/>
      <c r="AX462" s="4"/>
    </row>
    <row r="463" spans="1:50" x14ac:dyDescent="0.25">
      <c r="A463" s="43" t="s">
        <v>374</v>
      </c>
      <c r="B463" s="52"/>
      <c r="C463" s="44"/>
      <c r="D463" s="43"/>
      <c r="E463" s="52"/>
      <c r="F463" s="46"/>
      <c r="G463" s="76" t="s">
        <v>382</v>
      </c>
      <c r="H463" s="48" t="s">
        <v>334</v>
      </c>
      <c r="I463" s="48"/>
      <c r="J463" s="84"/>
      <c r="K463" s="85"/>
      <c r="L463" s="47"/>
      <c r="M463" s="3">
        <f>1.3+2+1.85+0.2</f>
        <v>5.3500000000000005</v>
      </c>
      <c r="N463" s="3">
        <f t="shared" si="684"/>
        <v>2.9000000000000004</v>
      </c>
      <c r="O463" s="22">
        <v>0.2</v>
      </c>
      <c r="P463" s="23">
        <v>1</v>
      </c>
      <c r="Q463" s="3"/>
      <c r="R463" s="3">
        <f>2*2.7</f>
        <v>5.4</v>
      </c>
      <c r="S463" s="3"/>
      <c r="T463" s="3"/>
      <c r="U463" s="3"/>
      <c r="V463" s="23"/>
      <c r="W463" s="3"/>
      <c r="X463" s="3"/>
      <c r="Y463" s="17"/>
      <c r="Z463" s="17"/>
      <c r="AA463" s="3">
        <f>(2+2.7*2)*0.2+0.2*2*2.9</f>
        <v>2.64</v>
      </c>
      <c r="AB463" s="3"/>
      <c r="AC463" s="3">
        <f t="shared" ref="AC463" si="689">M463*N463*2</f>
        <v>31.030000000000008</v>
      </c>
      <c r="AD463" s="3">
        <f>-R463*2</f>
        <v>-10.8</v>
      </c>
      <c r="AE463" s="3"/>
      <c r="AF463" s="3"/>
      <c r="AG463" s="3"/>
      <c r="AH463" s="3"/>
      <c r="AI463" s="3"/>
      <c r="AJ463" s="3"/>
      <c r="AK463" s="12">
        <f t="shared" si="404"/>
        <v>10.115000000000004</v>
      </c>
      <c r="AL463" s="12">
        <f t="shared" si="405"/>
        <v>10.115000000000004</v>
      </c>
      <c r="AM463" s="12">
        <f t="shared" si="406"/>
        <v>2.023000000000001</v>
      </c>
      <c r="AN463" s="12">
        <f t="shared" si="407"/>
        <v>2.023000000000001</v>
      </c>
      <c r="AO463" s="12" t="str">
        <f t="shared" si="408"/>
        <v/>
      </c>
      <c r="AP463" s="12">
        <f t="shared" si="409"/>
        <v>5.3500000000000005</v>
      </c>
      <c r="AQ463" s="12">
        <f t="shared" si="410"/>
        <v>2.64</v>
      </c>
      <c r="AR463" s="12">
        <f t="shared" si="411"/>
        <v>20.230000000000008</v>
      </c>
      <c r="AS463" s="12" t="str">
        <f t="shared" si="413"/>
        <v/>
      </c>
      <c r="AT463" s="12" t="str">
        <f t="shared" si="379"/>
        <v/>
      </c>
      <c r="AU463" s="12" t="str">
        <f t="shared" si="401"/>
        <v/>
      </c>
      <c r="AV463" s="17"/>
      <c r="AX463" s="4"/>
    </row>
    <row r="464" spans="1:50" x14ac:dyDescent="0.25">
      <c r="A464" s="43" t="s">
        <v>374</v>
      </c>
      <c r="B464" s="52"/>
      <c r="C464" s="44"/>
      <c r="D464" s="43"/>
      <c r="E464" s="52"/>
      <c r="F464" s="46"/>
      <c r="G464" s="76" t="s">
        <v>383</v>
      </c>
      <c r="H464" s="48" t="s">
        <v>339</v>
      </c>
      <c r="I464" s="48"/>
      <c r="J464" s="84"/>
      <c r="K464" s="85"/>
      <c r="L464" s="47" t="s">
        <v>328</v>
      </c>
      <c r="M464" s="3">
        <f>11.3+0.2*2</f>
        <v>11.700000000000001</v>
      </c>
      <c r="N464" s="3">
        <f>9.3-6.65</f>
        <v>2.6500000000000004</v>
      </c>
      <c r="O464" s="22">
        <v>0.2</v>
      </c>
      <c r="P464" s="23">
        <v>1</v>
      </c>
      <c r="Q464" s="3"/>
      <c r="R464" s="3">
        <f>2.02*2.65+3.07*2.65</f>
        <v>13.488499999999998</v>
      </c>
      <c r="S464" s="3"/>
      <c r="T464" s="3"/>
      <c r="U464" s="3"/>
      <c r="V464" s="23"/>
      <c r="W464" s="3"/>
      <c r="X464" s="3"/>
      <c r="Y464" s="17"/>
      <c r="Z464" s="17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12">
        <f t="shared" si="404"/>
        <v>17.516500000000008</v>
      </c>
      <c r="AL464" s="12">
        <f t="shared" si="405"/>
        <v>17.516500000000008</v>
      </c>
      <c r="AM464" s="12">
        <f t="shared" si="406"/>
        <v>3.5033000000000016</v>
      </c>
      <c r="AN464" s="12">
        <f t="shared" si="407"/>
        <v>3.5033000000000016</v>
      </c>
      <c r="AO464" s="12" t="str">
        <f t="shared" si="408"/>
        <v/>
      </c>
      <c r="AP464" s="12">
        <f t="shared" si="409"/>
        <v>11.700000000000001</v>
      </c>
      <c r="AQ464" s="12" t="str">
        <f t="shared" si="410"/>
        <v/>
      </c>
      <c r="AR464" s="12" t="str">
        <f t="shared" si="411"/>
        <v/>
      </c>
      <c r="AS464" s="12" t="str">
        <f t="shared" si="413"/>
        <v/>
      </c>
      <c r="AT464" s="12" t="str">
        <f t="shared" si="379"/>
        <v/>
      </c>
      <c r="AU464" s="12" t="str">
        <f t="shared" si="401"/>
        <v/>
      </c>
      <c r="AV464" s="17"/>
      <c r="AX464" s="4"/>
    </row>
    <row r="465" spans="1:50" x14ac:dyDescent="0.25">
      <c r="A465" s="43" t="s">
        <v>374</v>
      </c>
      <c r="B465" s="52"/>
      <c r="C465" s="44"/>
      <c r="D465" s="43"/>
      <c r="E465" s="52"/>
      <c r="F465" s="46"/>
      <c r="G465" s="76" t="s">
        <v>384</v>
      </c>
      <c r="H465" s="48" t="s">
        <v>339</v>
      </c>
      <c r="I465" s="48"/>
      <c r="J465" s="84"/>
      <c r="K465" s="85"/>
      <c r="L465" s="47"/>
      <c r="M465" s="3">
        <f>11.3+0.2*2</f>
        <v>11.700000000000001</v>
      </c>
      <c r="N465" s="3">
        <f t="shared" ref="N465:N467" si="690">9.3-6.65</f>
        <v>2.6500000000000004</v>
      </c>
      <c r="O465" s="22">
        <v>0.2</v>
      </c>
      <c r="P465" s="23">
        <v>1</v>
      </c>
      <c r="Q465" s="3"/>
      <c r="R465" s="3">
        <f>2.02*2.65+3.07*2.65</f>
        <v>13.488499999999998</v>
      </c>
      <c r="S465" s="3"/>
      <c r="T465" s="3"/>
      <c r="U465" s="3"/>
      <c r="V465" s="23"/>
      <c r="W465" s="3"/>
      <c r="X465" s="3"/>
      <c r="Y465" s="17"/>
      <c r="Z465" s="17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12">
        <f t="shared" si="404"/>
        <v>17.516500000000008</v>
      </c>
      <c r="AL465" s="12">
        <f t="shared" si="405"/>
        <v>17.516500000000008</v>
      </c>
      <c r="AM465" s="12">
        <f t="shared" si="406"/>
        <v>3.5033000000000016</v>
      </c>
      <c r="AN465" s="12">
        <f t="shared" si="407"/>
        <v>3.5033000000000016</v>
      </c>
      <c r="AO465" s="12" t="str">
        <f t="shared" si="408"/>
        <v/>
      </c>
      <c r="AP465" s="12">
        <f t="shared" si="409"/>
        <v>11.700000000000001</v>
      </c>
      <c r="AQ465" s="12" t="str">
        <f t="shared" si="410"/>
        <v/>
      </c>
      <c r="AR465" s="12" t="str">
        <f t="shared" si="411"/>
        <v/>
      </c>
      <c r="AS465" s="12" t="str">
        <f t="shared" si="413"/>
        <v/>
      </c>
      <c r="AT465" s="12" t="str">
        <f t="shared" si="379"/>
        <v/>
      </c>
      <c r="AU465" s="12" t="str">
        <f t="shared" si="401"/>
        <v/>
      </c>
      <c r="AV465" s="17"/>
      <c r="AX465" s="4"/>
    </row>
    <row r="466" spans="1:50" x14ac:dyDescent="0.25">
      <c r="A466" s="43" t="s">
        <v>374</v>
      </c>
      <c r="B466" s="52"/>
      <c r="C466" s="44"/>
      <c r="D466" s="43"/>
      <c r="E466" s="52"/>
      <c r="F466" s="46"/>
      <c r="G466" s="76" t="s">
        <v>385</v>
      </c>
      <c r="H466" s="48" t="s">
        <v>339</v>
      </c>
      <c r="I466" s="48"/>
      <c r="J466" s="84"/>
      <c r="K466" s="85"/>
      <c r="L466" s="47"/>
      <c r="M466" s="3">
        <v>6.7</v>
      </c>
      <c r="N466" s="3">
        <f t="shared" si="690"/>
        <v>2.6500000000000004</v>
      </c>
      <c r="O466" s="22">
        <v>0.2</v>
      </c>
      <c r="P466" s="23">
        <v>1</v>
      </c>
      <c r="Q466" s="3"/>
      <c r="R466" s="3">
        <f>3.12*2.65</f>
        <v>8.2680000000000007</v>
      </c>
      <c r="S466" s="3"/>
      <c r="T466" s="3"/>
      <c r="U466" s="3"/>
      <c r="V466" s="23"/>
      <c r="W466" s="3"/>
      <c r="X466" s="3"/>
      <c r="Y466" s="17"/>
      <c r="Z466" s="17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12">
        <f t="shared" si="404"/>
        <v>9.4870000000000019</v>
      </c>
      <c r="AL466" s="12">
        <f t="shared" si="405"/>
        <v>9.4870000000000019</v>
      </c>
      <c r="AM466" s="12">
        <f t="shared" si="406"/>
        <v>1.8974000000000004</v>
      </c>
      <c r="AN466" s="12">
        <f t="shared" si="407"/>
        <v>1.8974000000000004</v>
      </c>
      <c r="AO466" s="12" t="str">
        <f t="shared" si="408"/>
        <v/>
      </c>
      <c r="AP466" s="12">
        <f t="shared" si="409"/>
        <v>6.7</v>
      </c>
      <c r="AQ466" s="12" t="str">
        <f t="shared" si="410"/>
        <v/>
      </c>
      <c r="AR466" s="12" t="str">
        <f t="shared" si="411"/>
        <v/>
      </c>
      <c r="AS466" s="12" t="str">
        <f t="shared" si="413"/>
        <v/>
      </c>
      <c r="AT466" s="12" t="str">
        <f t="shared" si="379"/>
        <v/>
      </c>
      <c r="AU466" s="12" t="str">
        <f t="shared" si="401"/>
        <v/>
      </c>
      <c r="AV466" s="17"/>
      <c r="AX466" s="4"/>
    </row>
    <row r="467" spans="1:50" x14ac:dyDescent="0.25">
      <c r="A467" s="43" t="s">
        <v>374</v>
      </c>
      <c r="B467" s="52"/>
      <c r="C467" s="44"/>
      <c r="D467" s="43"/>
      <c r="E467" s="52"/>
      <c r="F467" s="46"/>
      <c r="G467" s="76" t="s">
        <v>386</v>
      </c>
      <c r="H467" s="48" t="s">
        <v>339</v>
      </c>
      <c r="I467" s="48"/>
      <c r="J467" s="84"/>
      <c r="K467" s="85"/>
      <c r="L467" s="47"/>
      <c r="M467" s="3">
        <v>6.7</v>
      </c>
      <c r="N467" s="3">
        <f t="shared" si="690"/>
        <v>2.6500000000000004</v>
      </c>
      <c r="O467" s="22">
        <v>0.2</v>
      </c>
      <c r="P467" s="23">
        <v>1</v>
      </c>
      <c r="Q467" s="3"/>
      <c r="R467" s="3">
        <f>1.92*2.65+0.79*2.65</f>
        <v>7.1814999999999998</v>
      </c>
      <c r="S467" s="3"/>
      <c r="T467" s="3"/>
      <c r="U467" s="3"/>
      <c r="V467" s="23"/>
      <c r="W467" s="3"/>
      <c r="X467" s="3"/>
      <c r="Y467" s="17"/>
      <c r="Z467" s="17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12">
        <f t="shared" si="404"/>
        <v>10.573500000000003</v>
      </c>
      <c r="AL467" s="12">
        <f t="shared" si="405"/>
        <v>10.573500000000003</v>
      </c>
      <c r="AM467" s="12">
        <f t="shared" si="406"/>
        <v>2.1147000000000005</v>
      </c>
      <c r="AN467" s="12">
        <f t="shared" si="407"/>
        <v>2.1147000000000005</v>
      </c>
      <c r="AO467" s="12" t="str">
        <f t="shared" si="408"/>
        <v/>
      </c>
      <c r="AP467" s="12">
        <f t="shared" si="409"/>
        <v>6.7</v>
      </c>
      <c r="AQ467" s="12" t="str">
        <f t="shared" si="410"/>
        <v/>
      </c>
      <c r="AR467" s="12" t="str">
        <f t="shared" si="411"/>
        <v/>
      </c>
      <c r="AS467" s="12" t="str">
        <f t="shared" si="413"/>
        <v/>
      </c>
      <c r="AT467" s="12" t="str">
        <f t="shared" si="379"/>
        <v/>
      </c>
      <c r="AU467" s="12" t="str">
        <f t="shared" si="401"/>
        <v/>
      </c>
      <c r="AV467" s="17"/>
      <c r="AX467" s="4"/>
    </row>
    <row r="468" spans="1:50" x14ac:dyDescent="0.25">
      <c r="A468" s="43" t="s">
        <v>374</v>
      </c>
      <c r="B468" s="52"/>
      <c r="C468" s="44"/>
      <c r="D468" s="43"/>
      <c r="E468" s="52"/>
      <c r="F468" s="46"/>
      <c r="G468" s="76" t="s">
        <v>387</v>
      </c>
      <c r="H468" s="48" t="s">
        <v>339</v>
      </c>
      <c r="I468" s="48"/>
      <c r="J468" s="84"/>
      <c r="K468" s="85"/>
      <c r="L468" s="47" t="s">
        <v>411</v>
      </c>
      <c r="M468" s="3">
        <v>3.45</v>
      </c>
      <c r="N468" s="3">
        <f>(9.3-6.65)+(10.85-9.8)</f>
        <v>3.6999999999999993</v>
      </c>
      <c r="O468" s="22">
        <v>0.2</v>
      </c>
      <c r="P468" s="23">
        <v>1</v>
      </c>
      <c r="Q468" s="3"/>
      <c r="R468" s="3"/>
      <c r="S468" s="3"/>
      <c r="T468" s="3"/>
      <c r="U468" s="3"/>
      <c r="V468" s="23"/>
      <c r="W468" s="3"/>
      <c r="X468" s="3"/>
      <c r="Y468" s="17"/>
      <c r="Z468" s="17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12">
        <f t="shared" si="404"/>
        <v>12.764999999999999</v>
      </c>
      <c r="AL468" s="12">
        <f t="shared" si="405"/>
        <v>12.764999999999999</v>
      </c>
      <c r="AM468" s="12">
        <f t="shared" si="406"/>
        <v>2.5529999999999999</v>
      </c>
      <c r="AN468" s="12">
        <f t="shared" si="407"/>
        <v>2.5529999999999999</v>
      </c>
      <c r="AO468" s="12" t="str">
        <f t="shared" si="408"/>
        <v/>
      </c>
      <c r="AP468" s="12">
        <f t="shared" si="409"/>
        <v>3.45</v>
      </c>
      <c r="AQ468" s="12" t="str">
        <f t="shared" si="410"/>
        <v/>
      </c>
      <c r="AR468" s="12" t="str">
        <f t="shared" si="411"/>
        <v/>
      </c>
      <c r="AS468" s="12" t="str">
        <f t="shared" ref="AS468:AS530" si="691">IF((AE468*AH468*AI468)*P468=0,"",(AE468*AH468*AI468)*P468)</f>
        <v/>
      </c>
      <c r="AT468" s="12" t="str">
        <f t="shared" ref="AT468:AT530" si="692">IF(AJ468*P468=0,"",AJ468*P468)</f>
        <v/>
      </c>
      <c r="AU468" s="12" t="str">
        <f t="shared" si="401"/>
        <v/>
      </c>
      <c r="AV468" s="17"/>
      <c r="AX468" s="4"/>
    </row>
    <row r="469" spans="1:50" x14ac:dyDescent="0.25">
      <c r="A469" s="43" t="s">
        <v>374</v>
      </c>
      <c r="B469" s="52"/>
      <c r="C469" s="44"/>
      <c r="D469" s="43"/>
      <c r="E469" s="52"/>
      <c r="F469" s="46"/>
      <c r="G469" s="76" t="s">
        <v>388</v>
      </c>
      <c r="H469" s="48" t="s">
        <v>339</v>
      </c>
      <c r="I469" s="48"/>
      <c r="J469" s="84"/>
      <c r="K469" s="85"/>
      <c r="L469" s="47" t="s">
        <v>411</v>
      </c>
      <c r="M469" s="3">
        <v>3.25</v>
      </c>
      <c r="N469" s="3">
        <f t="shared" ref="N469:N473" si="693">(9.3-6.65)+(10.85-9.8)</f>
        <v>3.6999999999999993</v>
      </c>
      <c r="O469" s="22">
        <v>0.2</v>
      </c>
      <c r="P469" s="23">
        <v>1</v>
      </c>
      <c r="Q469" s="3"/>
      <c r="R469" s="3"/>
      <c r="S469" s="3"/>
      <c r="T469" s="3"/>
      <c r="U469" s="3"/>
      <c r="V469" s="23"/>
      <c r="W469" s="3"/>
      <c r="X469" s="3"/>
      <c r="Y469" s="17"/>
      <c r="Z469" s="17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12">
        <f t="shared" si="404"/>
        <v>12.024999999999999</v>
      </c>
      <c r="AL469" s="12">
        <f t="shared" si="405"/>
        <v>12.024999999999999</v>
      </c>
      <c r="AM469" s="12">
        <f t="shared" si="406"/>
        <v>2.4049999999999998</v>
      </c>
      <c r="AN469" s="12">
        <f t="shared" si="407"/>
        <v>2.4049999999999998</v>
      </c>
      <c r="AO469" s="12" t="str">
        <f t="shared" si="408"/>
        <v/>
      </c>
      <c r="AP469" s="12">
        <f t="shared" si="409"/>
        <v>3.25</v>
      </c>
      <c r="AQ469" s="12" t="str">
        <f t="shared" si="410"/>
        <v/>
      </c>
      <c r="AR469" s="12" t="str">
        <f t="shared" si="411"/>
        <v/>
      </c>
      <c r="AS469" s="12" t="str">
        <f t="shared" si="691"/>
        <v/>
      </c>
      <c r="AT469" s="12" t="str">
        <f t="shared" si="692"/>
        <v/>
      </c>
      <c r="AU469" s="12" t="str">
        <f t="shared" si="401"/>
        <v/>
      </c>
      <c r="AV469" s="17"/>
      <c r="AX469" s="4"/>
    </row>
    <row r="470" spans="1:50" x14ac:dyDescent="0.25">
      <c r="A470" s="43" t="s">
        <v>374</v>
      </c>
      <c r="B470" s="52"/>
      <c r="C470" s="44"/>
      <c r="D470" s="43"/>
      <c r="E470" s="52"/>
      <c r="F470" s="46"/>
      <c r="G470" s="76" t="s">
        <v>389</v>
      </c>
      <c r="H470" s="48" t="s">
        <v>339</v>
      </c>
      <c r="I470" s="48"/>
      <c r="J470" s="84"/>
      <c r="K470" s="85"/>
      <c r="L470" s="47" t="s">
        <v>411</v>
      </c>
      <c r="M470" s="3">
        <v>2.4</v>
      </c>
      <c r="N470" s="3">
        <f t="shared" si="693"/>
        <v>3.6999999999999993</v>
      </c>
      <c r="O470" s="22">
        <v>0.2</v>
      </c>
      <c r="P470" s="23">
        <v>1</v>
      </c>
      <c r="Q470" s="3"/>
      <c r="R470" s="3"/>
      <c r="S470" s="3"/>
      <c r="T470" s="3"/>
      <c r="U470" s="3"/>
      <c r="V470" s="23"/>
      <c r="W470" s="3"/>
      <c r="X470" s="3"/>
      <c r="Y470" s="17"/>
      <c r="Z470" s="17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12">
        <f t="shared" si="404"/>
        <v>8.8799999999999972</v>
      </c>
      <c r="AL470" s="12">
        <f t="shared" si="405"/>
        <v>8.8799999999999972</v>
      </c>
      <c r="AM470" s="12">
        <f t="shared" si="406"/>
        <v>1.7759999999999996</v>
      </c>
      <c r="AN470" s="12">
        <f t="shared" si="407"/>
        <v>1.7759999999999996</v>
      </c>
      <c r="AO470" s="12" t="str">
        <f t="shared" si="408"/>
        <v/>
      </c>
      <c r="AP470" s="12">
        <f t="shared" si="409"/>
        <v>2.4</v>
      </c>
      <c r="AQ470" s="12" t="str">
        <f t="shared" si="410"/>
        <v/>
      </c>
      <c r="AR470" s="12" t="str">
        <f t="shared" si="411"/>
        <v/>
      </c>
      <c r="AS470" s="12" t="str">
        <f t="shared" si="691"/>
        <v/>
      </c>
      <c r="AT470" s="12" t="str">
        <f t="shared" si="692"/>
        <v/>
      </c>
      <c r="AU470" s="12" t="str">
        <f t="shared" si="401"/>
        <v/>
      </c>
      <c r="AV470" s="17"/>
      <c r="AX470" s="4"/>
    </row>
    <row r="471" spans="1:50" x14ac:dyDescent="0.25">
      <c r="A471" s="43" t="s">
        <v>374</v>
      </c>
      <c r="B471" s="52"/>
      <c r="C471" s="44"/>
      <c r="D471" s="43"/>
      <c r="E471" s="52"/>
      <c r="F471" s="46"/>
      <c r="G471" s="76" t="s">
        <v>390</v>
      </c>
      <c r="H471" s="48" t="s">
        <v>339</v>
      </c>
      <c r="I471" s="48"/>
      <c r="J471" s="84"/>
      <c r="K471" s="85"/>
      <c r="L471" s="47" t="s">
        <v>411</v>
      </c>
      <c r="M471" s="3">
        <v>1.79</v>
      </c>
      <c r="N471" s="3">
        <f t="shared" si="693"/>
        <v>3.6999999999999993</v>
      </c>
      <c r="O471" s="22">
        <v>0.2</v>
      </c>
      <c r="P471" s="23">
        <v>1</v>
      </c>
      <c r="Q471" s="3"/>
      <c r="R471" s="3"/>
      <c r="S471" s="3"/>
      <c r="T471" s="3"/>
      <c r="U471" s="3"/>
      <c r="V471" s="23"/>
      <c r="W471" s="3"/>
      <c r="X471" s="3"/>
      <c r="Y471" s="17"/>
      <c r="Z471" s="17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12">
        <f t="shared" si="404"/>
        <v>6.6229999999999984</v>
      </c>
      <c r="AL471" s="12">
        <f t="shared" si="405"/>
        <v>6.6229999999999984</v>
      </c>
      <c r="AM471" s="12">
        <f t="shared" si="406"/>
        <v>1.3245999999999998</v>
      </c>
      <c r="AN471" s="12">
        <f t="shared" si="407"/>
        <v>1.3245999999999998</v>
      </c>
      <c r="AO471" s="12" t="str">
        <f t="shared" si="408"/>
        <v/>
      </c>
      <c r="AP471" s="12">
        <f t="shared" si="409"/>
        <v>1.79</v>
      </c>
      <c r="AQ471" s="12" t="str">
        <f t="shared" si="410"/>
        <v/>
      </c>
      <c r="AR471" s="12" t="str">
        <f t="shared" si="411"/>
        <v/>
      </c>
      <c r="AS471" s="12" t="str">
        <f t="shared" si="691"/>
        <v/>
      </c>
      <c r="AT471" s="12" t="str">
        <f t="shared" si="692"/>
        <v/>
      </c>
      <c r="AU471" s="12" t="str">
        <f t="shared" si="401"/>
        <v/>
      </c>
      <c r="AV471" s="17"/>
      <c r="AX471" s="4"/>
    </row>
    <row r="472" spans="1:50" x14ac:dyDescent="0.25">
      <c r="A472" s="43" t="s">
        <v>374</v>
      </c>
      <c r="B472" s="52"/>
      <c r="C472" s="44"/>
      <c r="D472" s="43"/>
      <c r="E472" s="52"/>
      <c r="F472" s="46"/>
      <c r="G472" s="76" t="s">
        <v>391</v>
      </c>
      <c r="H472" s="48" t="s">
        <v>339</v>
      </c>
      <c r="I472" s="48"/>
      <c r="J472" s="84"/>
      <c r="K472" s="85"/>
      <c r="L472" s="47" t="s">
        <v>411</v>
      </c>
      <c r="M472" s="3">
        <v>2.2000000000000002</v>
      </c>
      <c r="N472" s="3">
        <f t="shared" si="693"/>
        <v>3.6999999999999993</v>
      </c>
      <c r="O472" s="22">
        <v>0.2</v>
      </c>
      <c r="P472" s="23">
        <v>1</v>
      </c>
      <c r="Q472" s="3"/>
      <c r="R472" s="3"/>
      <c r="S472" s="3"/>
      <c r="T472" s="3"/>
      <c r="U472" s="3"/>
      <c r="V472" s="23"/>
      <c r="W472" s="3"/>
      <c r="X472" s="3"/>
      <c r="Y472" s="17"/>
      <c r="Z472" s="17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12">
        <f t="shared" si="404"/>
        <v>8.1399999999999988</v>
      </c>
      <c r="AL472" s="12">
        <f t="shared" si="405"/>
        <v>8.1399999999999988</v>
      </c>
      <c r="AM472" s="12">
        <f t="shared" si="406"/>
        <v>1.6279999999999999</v>
      </c>
      <c r="AN472" s="12">
        <f t="shared" si="407"/>
        <v>1.6279999999999999</v>
      </c>
      <c r="AO472" s="12" t="str">
        <f t="shared" si="408"/>
        <v/>
      </c>
      <c r="AP472" s="12">
        <f t="shared" si="409"/>
        <v>2.2000000000000002</v>
      </c>
      <c r="AQ472" s="12" t="str">
        <f t="shared" si="410"/>
        <v/>
      </c>
      <c r="AR472" s="12" t="str">
        <f t="shared" si="411"/>
        <v/>
      </c>
      <c r="AS472" s="12" t="str">
        <f t="shared" si="691"/>
        <v/>
      </c>
      <c r="AT472" s="12" t="str">
        <f t="shared" si="692"/>
        <v/>
      </c>
      <c r="AU472" s="12" t="str">
        <f t="shared" si="401"/>
        <v/>
      </c>
      <c r="AV472" s="17"/>
      <c r="AX472" s="4"/>
    </row>
    <row r="473" spans="1:50" x14ac:dyDescent="0.25">
      <c r="A473" s="43" t="s">
        <v>374</v>
      </c>
      <c r="B473" s="52"/>
      <c r="C473" s="44"/>
      <c r="D473" s="43"/>
      <c r="E473" s="52"/>
      <c r="F473" s="46"/>
      <c r="G473" s="76" t="s">
        <v>392</v>
      </c>
      <c r="H473" s="48" t="s">
        <v>339</v>
      </c>
      <c r="I473" s="48"/>
      <c r="J473" s="84"/>
      <c r="K473" s="85"/>
      <c r="L473" s="47" t="s">
        <v>411</v>
      </c>
      <c r="M473" s="3">
        <v>4.3899999999999997</v>
      </c>
      <c r="N473" s="3">
        <f t="shared" si="693"/>
        <v>3.6999999999999993</v>
      </c>
      <c r="O473" s="22">
        <v>0.2</v>
      </c>
      <c r="P473" s="23">
        <v>1</v>
      </c>
      <c r="Q473" s="3"/>
      <c r="R473" s="3">
        <f>1.62*2.2+1.22*2.2</f>
        <v>6.2480000000000011</v>
      </c>
      <c r="S473" s="3"/>
      <c r="T473" s="3"/>
      <c r="U473" s="3"/>
      <c r="V473" s="23"/>
      <c r="W473" s="3"/>
      <c r="X473" s="3"/>
      <c r="Y473" s="17"/>
      <c r="Z473" s="17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12">
        <f t="shared" si="404"/>
        <v>9.9949999999999939</v>
      </c>
      <c r="AL473" s="12">
        <f t="shared" si="405"/>
        <v>9.9949999999999939</v>
      </c>
      <c r="AM473" s="12">
        <f t="shared" si="406"/>
        <v>1.9989999999999988</v>
      </c>
      <c r="AN473" s="12">
        <f t="shared" si="407"/>
        <v>1.9989999999999988</v>
      </c>
      <c r="AO473" s="12" t="str">
        <f t="shared" si="408"/>
        <v/>
      </c>
      <c r="AP473" s="12">
        <f t="shared" si="409"/>
        <v>4.3899999999999997</v>
      </c>
      <c r="AQ473" s="12" t="str">
        <f t="shared" si="410"/>
        <v/>
      </c>
      <c r="AR473" s="12" t="str">
        <f t="shared" si="411"/>
        <v/>
      </c>
      <c r="AS473" s="12" t="str">
        <f t="shared" si="691"/>
        <v/>
      </c>
      <c r="AT473" s="12" t="str">
        <f t="shared" si="692"/>
        <v/>
      </c>
      <c r="AU473" s="12" t="str">
        <f t="shared" si="401"/>
        <v/>
      </c>
      <c r="AV473" s="17"/>
      <c r="AX473" s="4"/>
    </row>
    <row r="474" spans="1:50" x14ac:dyDescent="0.25">
      <c r="A474" s="43" t="s">
        <v>374</v>
      </c>
      <c r="B474" s="52"/>
      <c r="C474" s="44"/>
      <c r="D474" s="43"/>
      <c r="E474" s="52"/>
      <c r="F474" s="46"/>
      <c r="G474" s="76" t="s">
        <v>393</v>
      </c>
      <c r="H474" s="48" t="s">
        <v>339</v>
      </c>
      <c r="I474" s="48"/>
      <c r="J474" s="84"/>
      <c r="K474" s="85"/>
      <c r="L474" s="47"/>
      <c r="M474" s="3">
        <f>0.2+2.59+3.07+2.28+2.02+1.34+0.2</f>
        <v>11.699999999999998</v>
      </c>
      <c r="N474" s="3">
        <f t="shared" ref="N474:N477" si="694">9.3-6.65</f>
        <v>2.6500000000000004</v>
      </c>
      <c r="O474" s="22">
        <v>0.2</v>
      </c>
      <c r="P474" s="23">
        <v>1</v>
      </c>
      <c r="Q474" s="3"/>
      <c r="R474" s="3">
        <f>3.07*2.65+2.02*2.65</f>
        <v>13.488499999999998</v>
      </c>
      <c r="S474" s="3"/>
      <c r="T474" s="3"/>
      <c r="U474" s="3"/>
      <c r="V474" s="23"/>
      <c r="W474" s="3"/>
      <c r="X474" s="3"/>
      <c r="Y474" s="17"/>
      <c r="Z474" s="17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12">
        <f t="shared" si="384"/>
        <v>17.516500000000001</v>
      </c>
      <c r="AL474" s="12">
        <f t="shared" si="385"/>
        <v>17.516500000000001</v>
      </c>
      <c r="AM474" s="12">
        <f t="shared" si="386"/>
        <v>3.5033000000000003</v>
      </c>
      <c r="AN474" s="12">
        <f t="shared" si="387"/>
        <v>3.5033000000000003</v>
      </c>
      <c r="AO474" s="12" t="str">
        <f t="shared" si="388"/>
        <v/>
      </c>
      <c r="AP474" s="12">
        <f t="shared" si="389"/>
        <v>11.699999999999998</v>
      </c>
      <c r="AQ474" s="12" t="str">
        <f t="shared" si="390"/>
        <v/>
      </c>
      <c r="AR474" s="12" t="str">
        <f t="shared" si="391"/>
        <v/>
      </c>
      <c r="AS474" s="12" t="str">
        <f t="shared" si="691"/>
        <v/>
      </c>
      <c r="AT474" s="12" t="str">
        <f t="shared" si="692"/>
        <v/>
      </c>
      <c r="AU474" s="12" t="str">
        <f t="shared" si="401"/>
        <v/>
      </c>
      <c r="AV474" s="17"/>
      <c r="AX474" s="4"/>
    </row>
    <row r="475" spans="1:50" x14ac:dyDescent="0.25">
      <c r="A475" s="43" t="s">
        <v>374</v>
      </c>
      <c r="B475" s="52"/>
      <c r="C475" s="44"/>
      <c r="D475" s="43"/>
      <c r="E475" s="52"/>
      <c r="F475" s="46"/>
      <c r="G475" s="76" t="s">
        <v>394</v>
      </c>
      <c r="H475" s="48" t="s">
        <v>339</v>
      </c>
      <c r="I475" s="48"/>
      <c r="J475" s="84"/>
      <c r="K475" s="85"/>
      <c r="L475" s="47"/>
      <c r="M475" s="3">
        <f>0.2+2.59+3.07+2.28+2.02+1.34+0.2</f>
        <v>11.699999999999998</v>
      </c>
      <c r="N475" s="3">
        <f t="shared" si="694"/>
        <v>2.6500000000000004</v>
      </c>
      <c r="O475" s="22">
        <v>0.2</v>
      </c>
      <c r="P475" s="23">
        <v>1</v>
      </c>
      <c r="Q475" s="3"/>
      <c r="R475" s="3">
        <f>3.07*2.65+2.02*2.65</f>
        <v>13.488499999999998</v>
      </c>
      <c r="S475" s="3"/>
      <c r="T475" s="3"/>
      <c r="U475" s="3"/>
      <c r="V475" s="23"/>
      <c r="W475" s="3"/>
      <c r="X475" s="3"/>
      <c r="Y475" s="17"/>
      <c r="Z475" s="17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12">
        <f t="shared" si="384"/>
        <v>17.516500000000001</v>
      </c>
      <c r="AL475" s="12">
        <f t="shared" si="385"/>
        <v>17.516500000000001</v>
      </c>
      <c r="AM475" s="12">
        <f t="shared" si="386"/>
        <v>3.5033000000000003</v>
      </c>
      <c r="AN475" s="12">
        <f t="shared" si="387"/>
        <v>3.5033000000000003</v>
      </c>
      <c r="AO475" s="12" t="str">
        <f t="shared" si="388"/>
        <v/>
      </c>
      <c r="AP475" s="12">
        <f t="shared" si="389"/>
        <v>11.699999999999998</v>
      </c>
      <c r="AQ475" s="12" t="str">
        <f t="shared" si="390"/>
        <v/>
      </c>
      <c r="AR475" s="12" t="str">
        <f t="shared" si="391"/>
        <v/>
      </c>
      <c r="AS475" s="12" t="str">
        <f t="shared" si="691"/>
        <v/>
      </c>
      <c r="AT475" s="12" t="str">
        <f t="shared" si="692"/>
        <v/>
      </c>
      <c r="AU475" s="12" t="str">
        <f t="shared" si="401"/>
        <v/>
      </c>
      <c r="AV475" s="17"/>
      <c r="AX475" s="4"/>
    </row>
    <row r="476" spans="1:50" x14ac:dyDescent="0.25">
      <c r="A476" s="43" t="s">
        <v>374</v>
      </c>
      <c r="B476" s="52"/>
      <c r="C476" s="44"/>
      <c r="D476" s="43"/>
      <c r="E476" s="52"/>
      <c r="F476" s="46"/>
      <c r="G476" s="76" t="s">
        <v>395</v>
      </c>
      <c r="H476" s="48" t="s">
        <v>339</v>
      </c>
      <c r="I476" s="48"/>
      <c r="J476" s="84"/>
      <c r="K476" s="85"/>
      <c r="L476" s="47"/>
      <c r="M476" s="3">
        <v>6.7</v>
      </c>
      <c r="N476" s="3">
        <f t="shared" si="694"/>
        <v>2.6500000000000004</v>
      </c>
      <c r="O476" s="22">
        <v>0.2</v>
      </c>
      <c r="P476" s="23">
        <v>1</v>
      </c>
      <c r="Q476" s="3"/>
      <c r="R476" s="3">
        <f>1.92*2.65+0.79*2.65</f>
        <v>7.1814999999999998</v>
      </c>
      <c r="S476" s="3"/>
      <c r="T476" s="3"/>
      <c r="U476" s="3"/>
      <c r="V476" s="23"/>
      <c r="W476" s="3"/>
      <c r="X476" s="3"/>
      <c r="Y476" s="17"/>
      <c r="Z476" s="17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12">
        <f t="shared" si="384"/>
        <v>10.573500000000003</v>
      </c>
      <c r="AL476" s="12">
        <f t="shared" si="385"/>
        <v>10.573500000000003</v>
      </c>
      <c r="AM476" s="12">
        <f t="shared" si="386"/>
        <v>2.1147000000000005</v>
      </c>
      <c r="AN476" s="12">
        <f t="shared" si="387"/>
        <v>2.1147000000000005</v>
      </c>
      <c r="AO476" s="12" t="str">
        <f t="shared" si="388"/>
        <v/>
      </c>
      <c r="AP476" s="12">
        <f t="shared" si="389"/>
        <v>6.7</v>
      </c>
      <c r="AQ476" s="12" t="str">
        <f t="shared" si="390"/>
        <v/>
      </c>
      <c r="AR476" s="12" t="str">
        <f t="shared" si="391"/>
        <v/>
      </c>
      <c r="AS476" s="12" t="str">
        <f t="shared" si="691"/>
        <v/>
      </c>
      <c r="AT476" s="12" t="str">
        <f t="shared" si="692"/>
        <v/>
      </c>
      <c r="AU476" s="12" t="str">
        <f t="shared" si="401"/>
        <v/>
      </c>
      <c r="AV476" s="17"/>
      <c r="AX476" s="4"/>
    </row>
    <row r="477" spans="1:50" x14ac:dyDescent="0.25">
      <c r="A477" s="43" t="s">
        <v>374</v>
      </c>
      <c r="B477" s="52"/>
      <c r="C477" s="44"/>
      <c r="D477" s="43"/>
      <c r="E477" s="52"/>
      <c r="F477" s="46"/>
      <c r="G477" s="76" t="s">
        <v>396</v>
      </c>
      <c r="H477" s="48" t="s">
        <v>339</v>
      </c>
      <c r="I477" s="48"/>
      <c r="J477" s="84"/>
      <c r="K477" s="85"/>
      <c r="L477" s="47"/>
      <c r="M477" s="3">
        <v>6.7</v>
      </c>
      <c r="N477" s="3">
        <f t="shared" si="694"/>
        <v>2.6500000000000004</v>
      </c>
      <c r="O477" s="22">
        <v>0.2</v>
      </c>
      <c r="P477" s="23">
        <v>1</v>
      </c>
      <c r="Q477" s="3"/>
      <c r="R477" s="3">
        <f>3.12*2.65</f>
        <v>8.2680000000000007</v>
      </c>
      <c r="S477" s="3"/>
      <c r="T477" s="3"/>
      <c r="U477" s="3"/>
      <c r="V477" s="23"/>
      <c r="W477" s="3"/>
      <c r="X477" s="3"/>
      <c r="Y477" s="17"/>
      <c r="Z477" s="17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12">
        <f t="shared" si="384"/>
        <v>9.4870000000000019</v>
      </c>
      <c r="AL477" s="12">
        <f t="shared" si="385"/>
        <v>9.4870000000000019</v>
      </c>
      <c r="AM477" s="12">
        <f t="shared" si="386"/>
        <v>1.8974000000000004</v>
      </c>
      <c r="AN477" s="12">
        <f t="shared" si="387"/>
        <v>1.8974000000000004</v>
      </c>
      <c r="AO477" s="12" t="str">
        <f t="shared" si="388"/>
        <v/>
      </c>
      <c r="AP477" s="12">
        <f t="shared" si="389"/>
        <v>6.7</v>
      </c>
      <c r="AQ477" s="12" t="str">
        <f t="shared" si="390"/>
        <v/>
      </c>
      <c r="AR477" s="12" t="str">
        <f t="shared" si="391"/>
        <v/>
      </c>
      <c r="AS477" s="12" t="str">
        <f t="shared" si="691"/>
        <v/>
      </c>
      <c r="AT477" s="12" t="str">
        <f t="shared" si="692"/>
        <v/>
      </c>
      <c r="AU477" s="12" t="str">
        <f t="shared" si="401"/>
        <v/>
      </c>
      <c r="AV477" s="17"/>
      <c r="AX477" s="4"/>
    </row>
    <row r="478" spans="1:50" x14ac:dyDescent="0.25">
      <c r="A478" s="43" t="s">
        <v>374</v>
      </c>
      <c r="B478" s="52"/>
      <c r="C478" s="44"/>
      <c r="D478" s="43"/>
      <c r="E478" s="52"/>
      <c r="F478" s="46"/>
      <c r="G478" s="76" t="s">
        <v>397</v>
      </c>
      <c r="H478" s="48" t="s">
        <v>341</v>
      </c>
      <c r="I478" s="48"/>
      <c r="J478" s="84"/>
      <c r="K478" s="85"/>
      <c r="L478" s="47" t="s">
        <v>327</v>
      </c>
      <c r="M478" s="3">
        <f>4.14+2.58+1.18+2.13*6+1.19</f>
        <v>21.87</v>
      </c>
      <c r="N478" s="3">
        <f>9.35-6.65</f>
        <v>2.6999999999999993</v>
      </c>
      <c r="O478" s="22">
        <v>0.24</v>
      </c>
      <c r="P478" s="23">
        <v>1</v>
      </c>
      <c r="Q478" s="3"/>
      <c r="R478" s="3"/>
      <c r="S478" s="3"/>
      <c r="T478" s="3"/>
      <c r="U478" s="3"/>
      <c r="V478" s="23"/>
      <c r="W478" s="3"/>
      <c r="X478" s="3"/>
      <c r="Y478" s="17"/>
      <c r="Z478" s="17"/>
      <c r="AA478" s="3"/>
      <c r="AB478" s="3"/>
      <c r="AC478" s="3"/>
      <c r="AD478" s="3"/>
      <c r="AE478" s="3">
        <f t="shared" ref="AE478:AE530" si="695">M478</f>
        <v>21.87</v>
      </c>
      <c r="AF478" s="3"/>
      <c r="AG478" s="3"/>
      <c r="AH478" s="3">
        <v>0.2</v>
      </c>
      <c r="AI478" s="3">
        <f>O478</f>
        <v>0.24</v>
      </c>
      <c r="AJ478" s="3">
        <f t="shared" ref="AJ478:AJ530" si="696">((AE478-AF478)*2+AG478)*AH478</f>
        <v>8.7480000000000011</v>
      </c>
      <c r="AK478" s="12">
        <f t="shared" si="384"/>
        <v>59.048999999999985</v>
      </c>
      <c r="AL478" s="12">
        <f t="shared" si="385"/>
        <v>59.048999999999985</v>
      </c>
      <c r="AM478" s="12">
        <f t="shared" si="386"/>
        <v>14.171759999999995</v>
      </c>
      <c r="AN478" s="12">
        <f t="shared" si="387"/>
        <v>14.171759999999995</v>
      </c>
      <c r="AO478" s="12" t="str">
        <f t="shared" si="388"/>
        <v/>
      </c>
      <c r="AP478" s="12">
        <f t="shared" si="389"/>
        <v>21.87</v>
      </c>
      <c r="AQ478" s="12" t="str">
        <f t="shared" si="390"/>
        <v/>
      </c>
      <c r="AR478" s="12" t="str">
        <f t="shared" si="391"/>
        <v/>
      </c>
      <c r="AS478" s="12">
        <f t="shared" si="691"/>
        <v>1.04976</v>
      </c>
      <c r="AT478" s="12">
        <f t="shared" si="692"/>
        <v>8.7480000000000011</v>
      </c>
      <c r="AU478" s="12" t="str">
        <f t="shared" si="401"/>
        <v/>
      </c>
      <c r="AV478" s="17"/>
      <c r="AX478" s="4"/>
    </row>
    <row r="479" spans="1:50" x14ac:dyDescent="0.25">
      <c r="A479" s="43" t="s">
        <v>374</v>
      </c>
      <c r="B479" s="52"/>
      <c r="C479" s="44"/>
      <c r="D479" s="43"/>
      <c r="E479" s="52"/>
      <c r="F479" s="46"/>
      <c r="G479" s="76"/>
      <c r="H479" s="48" t="s">
        <v>361</v>
      </c>
      <c r="I479" s="48"/>
      <c r="J479" s="84"/>
      <c r="K479" s="85"/>
      <c r="L479" s="47" t="s">
        <v>332</v>
      </c>
      <c r="M479" s="3">
        <f>2.12*7</f>
        <v>14.84</v>
      </c>
      <c r="N479" s="3">
        <f>7.23-6.65</f>
        <v>0.58000000000000007</v>
      </c>
      <c r="O479" s="22">
        <v>0.17</v>
      </c>
      <c r="P479" s="23">
        <v>1</v>
      </c>
      <c r="Q479" s="3"/>
      <c r="R479" s="3"/>
      <c r="S479" s="3"/>
      <c r="T479" s="3"/>
      <c r="U479" s="3"/>
      <c r="V479" s="23"/>
      <c r="W479" s="3"/>
      <c r="X479" s="3"/>
      <c r="Y479" s="17"/>
      <c r="Z479" s="17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12">
        <f t="shared" si="384"/>
        <v>8.6072000000000006</v>
      </c>
      <c r="AL479" s="12">
        <f t="shared" si="385"/>
        <v>8.6072000000000006</v>
      </c>
      <c r="AM479" s="12">
        <f t="shared" si="386"/>
        <v>1.4632240000000003</v>
      </c>
      <c r="AN479" s="12">
        <f t="shared" si="387"/>
        <v>1.4632240000000003</v>
      </c>
      <c r="AO479" s="12" t="str">
        <f t="shared" si="388"/>
        <v/>
      </c>
      <c r="AP479" s="12">
        <f t="shared" si="389"/>
        <v>14.84</v>
      </c>
      <c r="AQ479" s="12" t="str">
        <f t="shared" si="390"/>
        <v/>
      </c>
      <c r="AR479" s="12" t="str">
        <f t="shared" si="391"/>
        <v/>
      </c>
      <c r="AS479" s="12" t="str">
        <f t="shared" si="691"/>
        <v/>
      </c>
      <c r="AT479" s="12" t="str">
        <f t="shared" si="692"/>
        <v/>
      </c>
      <c r="AU479" s="12" t="str">
        <f t="shared" si="401"/>
        <v/>
      </c>
      <c r="AV479" s="17"/>
      <c r="AX479" s="4"/>
    </row>
    <row r="480" spans="1:50" x14ac:dyDescent="0.25">
      <c r="A480" s="43" t="s">
        <v>374</v>
      </c>
      <c r="B480" s="52"/>
      <c r="C480" s="44"/>
      <c r="D480" s="43"/>
      <c r="E480" s="52"/>
      <c r="F480" s="46"/>
      <c r="G480" s="76" t="s">
        <v>398</v>
      </c>
      <c r="H480" s="48" t="s">
        <v>341</v>
      </c>
      <c r="I480" s="48"/>
      <c r="J480" s="84"/>
      <c r="K480" s="85"/>
      <c r="L480" s="47"/>
      <c r="M480" s="3">
        <f>4.265+2.465+1.59+1.6+2.655+2.395+0.24</f>
        <v>15.209999999999999</v>
      </c>
      <c r="N480" s="3">
        <f t="shared" ref="N480:N500" si="697">9.35-6.65</f>
        <v>2.6999999999999993</v>
      </c>
      <c r="O480" s="22">
        <v>0.24</v>
      </c>
      <c r="P480" s="23">
        <v>1</v>
      </c>
      <c r="Q480" s="3"/>
      <c r="R480" s="3"/>
      <c r="S480" s="3"/>
      <c r="T480" s="3"/>
      <c r="U480" s="3"/>
      <c r="V480" s="23"/>
      <c r="W480" s="3"/>
      <c r="X480" s="3"/>
      <c r="Y480" s="17"/>
      <c r="Z480" s="17"/>
      <c r="AA480" s="3"/>
      <c r="AB480" s="3"/>
      <c r="AC480" s="3"/>
      <c r="AD480" s="3"/>
      <c r="AE480" s="3">
        <f t="shared" si="695"/>
        <v>15.209999999999999</v>
      </c>
      <c r="AF480" s="3"/>
      <c r="AG480" s="3"/>
      <c r="AH480" s="3">
        <v>0.2</v>
      </c>
      <c r="AI480" s="3">
        <f>O480</f>
        <v>0.24</v>
      </c>
      <c r="AJ480" s="3">
        <f t="shared" si="696"/>
        <v>6.0839999999999996</v>
      </c>
      <c r="AK480" s="12">
        <f t="shared" si="384"/>
        <v>41.066999999999986</v>
      </c>
      <c r="AL480" s="12">
        <f t="shared" si="385"/>
        <v>41.066999999999986</v>
      </c>
      <c r="AM480" s="12">
        <f t="shared" si="386"/>
        <v>9.8560799999999968</v>
      </c>
      <c r="AN480" s="12">
        <f t="shared" si="387"/>
        <v>9.8560799999999968</v>
      </c>
      <c r="AO480" s="12" t="str">
        <f t="shared" si="388"/>
        <v/>
      </c>
      <c r="AP480" s="12">
        <f t="shared" si="389"/>
        <v>15.209999999999999</v>
      </c>
      <c r="AQ480" s="12" t="str">
        <f t="shared" si="390"/>
        <v/>
      </c>
      <c r="AR480" s="12" t="str">
        <f t="shared" si="391"/>
        <v/>
      </c>
      <c r="AS480" s="12">
        <f t="shared" si="691"/>
        <v>0.73007999999999995</v>
      </c>
      <c r="AT480" s="12">
        <f t="shared" si="692"/>
        <v>6.0839999999999996</v>
      </c>
      <c r="AU480" s="12" t="str">
        <f t="shared" si="401"/>
        <v/>
      </c>
      <c r="AV480" s="17"/>
      <c r="AX480" s="4"/>
    </row>
    <row r="481" spans="1:50" x14ac:dyDescent="0.25">
      <c r="A481" s="43" t="s">
        <v>374</v>
      </c>
      <c r="B481" s="52"/>
      <c r="C481" s="44"/>
      <c r="D481" s="43"/>
      <c r="E481" s="52"/>
      <c r="F481" s="46"/>
      <c r="G481" s="76"/>
      <c r="H481" s="48" t="s">
        <v>361</v>
      </c>
      <c r="I481" s="48"/>
      <c r="J481" s="84"/>
      <c r="K481" s="85"/>
      <c r="L481" s="47" t="s">
        <v>332</v>
      </c>
      <c r="M481" s="3">
        <f>2.12*2</f>
        <v>4.24</v>
      </c>
      <c r="N481" s="3">
        <f>7.23-6.65</f>
        <v>0.58000000000000007</v>
      </c>
      <c r="O481" s="22">
        <v>0.17</v>
      </c>
      <c r="P481" s="23">
        <v>1</v>
      </c>
      <c r="Q481" s="3"/>
      <c r="R481" s="3"/>
      <c r="S481" s="3"/>
      <c r="T481" s="3"/>
      <c r="U481" s="3"/>
      <c r="V481" s="23"/>
      <c r="W481" s="3"/>
      <c r="X481" s="3"/>
      <c r="Y481" s="17"/>
      <c r="Z481" s="17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12">
        <f t="shared" ref="AK481:AK528" si="698">IF(((M481*N481)-Q481-R481-S481+T481+U481)=0,"",((M481*N481)-Q481-R481-S481+T481+U481))</f>
        <v>2.4592000000000005</v>
      </c>
      <c r="AL481" s="12">
        <f t="shared" ref="AL481:AL528" si="699">IF(PRODUCT(P481,AK481)=0,"",P481*AK481)</f>
        <v>2.4592000000000005</v>
      </c>
      <c r="AM481" s="12">
        <f t="shared" ref="AM481:AM528" si="700">IF(PRODUCT(AK481,O481)=0,"",AK481*O481)</f>
        <v>0.4180640000000001</v>
      </c>
      <c r="AN481" s="12">
        <f t="shared" ref="AN481:AN528" si="701">IF(PRODUCT(AM481,P481)=0,"",AM481*P481)</f>
        <v>0.4180640000000001</v>
      </c>
      <c r="AO481" s="12" t="str">
        <f t="shared" ref="AO481:AO528" si="702">IF(N481*V481-W481+X481=0,"",N481*V481-W481+X481)</f>
        <v/>
      </c>
      <c r="AP481" s="12">
        <f t="shared" ref="AP481:AP528" si="703">IF(PRODUCT(M481,P481)=0,"",M481*P481)</f>
        <v>4.24</v>
      </c>
      <c r="AQ481" s="12" t="str">
        <f t="shared" ref="AQ481:AQ528" si="704">IF(AA481+AB481=0,"",AA481+AB481)</f>
        <v/>
      </c>
      <c r="AR481" s="12" t="str">
        <f t="shared" ref="AR481:AR528" si="705">IF(AC481+AD481=0,"",AC481+AD481)</f>
        <v/>
      </c>
      <c r="AS481" s="12" t="str">
        <f t="shared" si="691"/>
        <v/>
      </c>
      <c r="AT481" s="12" t="str">
        <f t="shared" si="692"/>
        <v/>
      </c>
      <c r="AU481" s="12" t="str">
        <f t="shared" si="401"/>
        <v/>
      </c>
      <c r="AV481" s="17"/>
      <c r="AX481" s="4"/>
    </row>
    <row r="482" spans="1:50" x14ac:dyDescent="0.25">
      <c r="A482" s="43" t="s">
        <v>374</v>
      </c>
      <c r="B482" s="52"/>
      <c r="C482" s="44"/>
      <c r="D482" s="43"/>
      <c r="E482" s="52"/>
      <c r="F482" s="46"/>
      <c r="G482" s="76" t="s">
        <v>399</v>
      </c>
      <c r="H482" s="48" t="s">
        <v>341</v>
      </c>
      <c r="I482" s="48"/>
      <c r="J482" s="84"/>
      <c r="K482" s="85"/>
      <c r="L482" s="47"/>
      <c r="M482" s="3">
        <f>6.9-M483</f>
        <v>2.5400000000000009</v>
      </c>
      <c r="N482" s="3">
        <f>9.3-6.65</f>
        <v>2.6500000000000004</v>
      </c>
      <c r="O482" s="22">
        <v>0.24</v>
      </c>
      <c r="P482" s="23">
        <v>1</v>
      </c>
      <c r="Q482" s="3"/>
      <c r="R482" s="3"/>
      <c r="S482" s="3"/>
      <c r="T482" s="3"/>
      <c r="U482" s="3"/>
      <c r="V482" s="23"/>
      <c r="W482" s="3"/>
      <c r="X482" s="3"/>
      <c r="Y482" s="17"/>
      <c r="Z482" s="17"/>
      <c r="AA482" s="3"/>
      <c r="AB482" s="3"/>
      <c r="AC482" s="3"/>
      <c r="AD482" s="3"/>
      <c r="AE482" s="3">
        <f t="shared" si="695"/>
        <v>2.5400000000000009</v>
      </c>
      <c r="AF482" s="3"/>
      <c r="AG482" s="3"/>
      <c r="AH482" s="3">
        <v>0.2</v>
      </c>
      <c r="AI482" s="3">
        <f>O482</f>
        <v>0.24</v>
      </c>
      <c r="AJ482" s="3">
        <f t="shared" si="696"/>
        <v>1.0160000000000005</v>
      </c>
      <c r="AK482" s="12">
        <f t="shared" si="698"/>
        <v>6.7310000000000034</v>
      </c>
      <c r="AL482" s="12">
        <f t="shared" si="699"/>
        <v>6.7310000000000034</v>
      </c>
      <c r="AM482" s="12">
        <f t="shared" si="700"/>
        <v>1.6154400000000007</v>
      </c>
      <c r="AN482" s="12">
        <f t="shared" si="701"/>
        <v>1.6154400000000007</v>
      </c>
      <c r="AO482" s="12" t="str">
        <f t="shared" si="702"/>
        <v/>
      </c>
      <c r="AP482" s="12">
        <f t="shared" si="703"/>
        <v>2.5400000000000009</v>
      </c>
      <c r="AQ482" s="12" t="str">
        <f t="shared" si="704"/>
        <v/>
      </c>
      <c r="AR482" s="12" t="str">
        <f t="shared" si="705"/>
        <v/>
      </c>
      <c r="AS482" s="12">
        <f t="shared" si="691"/>
        <v>0.12192000000000006</v>
      </c>
      <c r="AT482" s="12">
        <f t="shared" si="692"/>
        <v>1.0160000000000005</v>
      </c>
      <c r="AU482" s="12" t="str">
        <f t="shared" si="401"/>
        <v/>
      </c>
      <c r="AV482" s="17"/>
      <c r="AX482" s="4"/>
    </row>
    <row r="483" spans="1:50" x14ac:dyDescent="0.25">
      <c r="A483" s="43" t="s">
        <v>374</v>
      </c>
      <c r="B483" s="52"/>
      <c r="C483" s="44"/>
      <c r="D483" s="43"/>
      <c r="E483" s="52"/>
      <c r="F483" s="46"/>
      <c r="G483" s="76"/>
      <c r="H483" s="48" t="s">
        <v>341</v>
      </c>
      <c r="I483" s="48"/>
      <c r="J483" s="84"/>
      <c r="K483" s="85"/>
      <c r="L483" s="47"/>
      <c r="M483" s="3">
        <f>4.6-0.24</f>
        <v>4.3599999999999994</v>
      </c>
      <c r="N483" s="3">
        <f>9.35-6.65</f>
        <v>2.6999999999999993</v>
      </c>
      <c r="O483" s="22">
        <v>0.24</v>
      </c>
      <c r="P483" s="23">
        <v>1</v>
      </c>
      <c r="Q483" s="3"/>
      <c r="R483" s="3"/>
      <c r="S483" s="3"/>
      <c r="T483" s="3"/>
      <c r="U483" s="3"/>
      <c r="V483" s="23"/>
      <c r="W483" s="3"/>
      <c r="X483" s="3"/>
      <c r="Y483" s="17"/>
      <c r="Z483" s="17"/>
      <c r="AA483" s="3"/>
      <c r="AB483" s="3"/>
      <c r="AC483" s="3"/>
      <c r="AD483" s="3"/>
      <c r="AE483" s="3">
        <f t="shared" si="695"/>
        <v>4.3599999999999994</v>
      </c>
      <c r="AF483" s="3"/>
      <c r="AG483" s="3"/>
      <c r="AH483" s="3">
        <v>0.2</v>
      </c>
      <c r="AI483" s="3">
        <f>O483</f>
        <v>0.24</v>
      </c>
      <c r="AJ483" s="3">
        <f t="shared" si="696"/>
        <v>1.7439999999999998</v>
      </c>
      <c r="AK483" s="12">
        <f t="shared" ref="AK483" si="706">IF(((M483*N483)-Q483-R483-S483+T483+U483)=0,"",((M483*N483)-Q483-R483-S483+T483+U483))</f>
        <v>11.771999999999995</v>
      </c>
      <c r="AL483" s="12">
        <f t="shared" ref="AL483" si="707">IF(PRODUCT(P483,AK483)=0,"",P483*AK483)</f>
        <v>11.771999999999995</v>
      </c>
      <c r="AM483" s="12">
        <f t="shared" ref="AM483" si="708">IF(PRODUCT(AK483,O483)=0,"",AK483*O483)</f>
        <v>2.8252799999999985</v>
      </c>
      <c r="AN483" s="12">
        <f t="shared" ref="AN483" si="709">IF(PRODUCT(AM483,P483)=0,"",AM483*P483)</f>
        <v>2.8252799999999985</v>
      </c>
      <c r="AO483" s="12" t="str">
        <f t="shared" ref="AO483" si="710">IF(N483*V483-W483+X483=0,"",N483*V483-W483+X483)</f>
        <v/>
      </c>
      <c r="AP483" s="12">
        <f t="shared" ref="AP483" si="711">IF(PRODUCT(M483,P483)=0,"",M483*P483)</f>
        <v>4.3599999999999994</v>
      </c>
      <c r="AQ483" s="12" t="str">
        <f t="shared" ref="AQ483" si="712">IF(AA483+AB483=0,"",AA483+AB483)</f>
        <v/>
      </c>
      <c r="AR483" s="12" t="str">
        <f t="shared" ref="AR483" si="713">IF(AC483+AD483=0,"",AC483+AD483)</f>
        <v/>
      </c>
      <c r="AS483" s="12">
        <f t="shared" si="691"/>
        <v>0.20927999999999997</v>
      </c>
      <c r="AT483" s="12">
        <f t="shared" si="692"/>
        <v>1.7439999999999998</v>
      </c>
      <c r="AU483" s="12" t="str">
        <f t="shared" si="401"/>
        <v/>
      </c>
      <c r="AV483" s="17"/>
      <c r="AX483" s="4"/>
    </row>
    <row r="484" spans="1:50" x14ac:dyDescent="0.25">
      <c r="A484" s="43" t="s">
        <v>374</v>
      </c>
      <c r="B484" s="52"/>
      <c r="C484" s="44"/>
      <c r="D484" s="43"/>
      <c r="E484" s="52"/>
      <c r="F484" s="46"/>
      <c r="G484" s="76" t="s">
        <v>400</v>
      </c>
      <c r="H484" s="48" t="s">
        <v>341</v>
      </c>
      <c r="I484" s="48"/>
      <c r="J484" s="84"/>
      <c r="K484" s="85"/>
      <c r="L484" s="47"/>
      <c r="M484" s="3">
        <f>1.19+2.13*2+2.58+1.23+1.49</f>
        <v>10.75</v>
      </c>
      <c r="N484" s="3">
        <f t="shared" si="697"/>
        <v>2.6999999999999993</v>
      </c>
      <c r="O484" s="22">
        <v>0.24</v>
      </c>
      <c r="P484" s="23">
        <v>1</v>
      </c>
      <c r="Q484" s="3"/>
      <c r="R484" s="3"/>
      <c r="S484" s="3"/>
      <c r="T484" s="3"/>
      <c r="U484" s="3"/>
      <c r="V484" s="23"/>
      <c r="W484" s="3"/>
      <c r="X484" s="3"/>
      <c r="Y484" s="17"/>
      <c r="Z484" s="17"/>
      <c r="AA484" s="3"/>
      <c r="AB484" s="3"/>
      <c r="AC484" s="3"/>
      <c r="AD484" s="3"/>
      <c r="AE484" s="3">
        <f t="shared" si="695"/>
        <v>10.75</v>
      </c>
      <c r="AF484" s="3"/>
      <c r="AG484" s="3"/>
      <c r="AH484" s="3">
        <v>0.2</v>
      </c>
      <c r="AI484" s="3">
        <f>O484</f>
        <v>0.24</v>
      </c>
      <c r="AJ484" s="3">
        <f t="shared" si="696"/>
        <v>4.3</v>
      </c>
      <c r="AK484" s="12">
        <f t="shared" si="698"/>
        <v>29.024999999999991</v>
      </c>
      <c r="AL484" s="12">
        <f t="shared" si="699"/>
        <v>29.024999999999991</v>
      </c>
      <c r="AM484" s="12">
        <f t="shared" si="700"/>
        <v>6.9659999999999975</v>
      </c>
      <c r="AN484" s="12">
        <f t="shared" si="701"/>
        <v>6.9659999999999975</v>
      </c>
      <c r="AO484" s="12" t="str">
        <f t="shared" si="702"/>
        <v/>
      </c>
      <c r="AP484" s="12">
        <f t="shared" si="703"/>
        <v>10.75</v>
      </c>
      <c r="AQ484" s="12" t="str">
        <f t="shared" si="704"/>
        <v/>
      </c>
      <c r="AR484" s="12" t="str">
        <f t="shared" si="705"/>
        <v/>
      </c>
      <c r="AS484" s="12">
        <f t="shared" si="691"/>
        <v>0.51600000000000001</v>
      </c>
      <c r="AT484" s="12">
        <f t="shared" si="692"/>
        <v>4.3</v>
      </c>
      <c r="AU484" s="12" t="str">
        <f t="shared" si="401"/>
        <v/>
      </c>
      <c r="AV484" s="17"/>
      <c r="AX484" s="4"/>
    </row>
    <row r="485" spans="1:50" x14ac:dyDescent="0.25">
      <c r="A485" s="43" t="s">
        <v>374</v>
      </c>
      <c r="B485" s="52"/>
      <c r="C485" s="44"/>
      <c r="D485" s="43"/>
      <c r="E485" s="52"/>
      <c r="F485" s="46"/>
      <c r="G485" s="76"/>
      <c r="H485" s="48" t="s">
        <v>361</v>
      </c>
      <c r="I485" s="48"/>
      <c r="J485" s="84"/>
      <c r="K485" s="85"/>
      <c r="L485" s="47" t="s">
        <v>332</v>
      </c>
      <c r="M485" s="3">
        <f>2.12*4</f>
        <v>8.48</v>
      </c>
      <c r="N485" s="3">
        <f>7.23-6.65</f>
        <v>0.58000000000000007</v>
      </c>
      <c r="O485" s="22">
        <v>0.17</v>
      </c>
      <c r="P485" s="23">
        <v>1</v>
      </c>
      <c r="Q485" s="3"/>
      <c r="R485" s="3"/>
      <c r="S485" s="3"/>
      <c r="T485" s="3"/>
      <c r="U485" s="3"/>
      <c r="V485" s="23"/>
      <c r="W485" s="3"/>
      <c r="X485" s="3"/>
      <c r="Y485" s="17"/>
      <c r="Z485" s="17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12">
        <f t="shared" si="698"/>
        <v>4.918400000000001</v>
      </c>
      <c r="AL485" s="12">
        <f t="shared" si="699"/>
        <v>4.918400000000001</v>
      </c>
      <c r="AM485" s="12">
        <f t="shared" si="700"/>
        <v>0.8361280000000002</v>
      </c>
      <c r="AN485" s="12">
        <f t="shared" si="701"/>
        <v>0.8361280000000002</v>
      </c>
      <c r="AO485" s="12" t="str">
        <f t="shared" si="702"/>
        <v/>
      </c>
      <c r="AP485" s="12">
        <f t="shared" si="703"/>
        <v>8.48</v>
      </c>
      <c r="AQ485" s="12" t="str">
        <f t="shared" si="704"/>
        <v/>
      </c>
      <c r="AR485" s="12" t="str">
        <f t="shared" si="705"/>
        <v/>
      </c>
      <c r="AS485" s="12" t="str">
        <f t="shared" si="691"/>
        <v/>
      </c>
      <c r="AT485" s="12" t="str">
        <f t="shared" si="692"/>
        <v/>
      </c>
      <c r="AU485" s="12" t="str">
        <f t="shared" si="401"/>
        <v/>
      </c>
      <c r="AV485" s="17"/>
      <c r="AX485" s="4"/>
    </row>
    <row r="486" spans="1:50" x14ac:dyDescent="0.25">
      <c r="A486" s="43" t="s">
        <v>374</v>
      </c>
      <c r="B486" s="52"/>
      <c r="C486" s="44"/>
      <c r="D486" s="43"/>
      <c r="E486" s="52"/>
      <c r="F486" s="46"/>
      <c r="G486" s="76" t="s">
        <v>401</v>
      </c>
      <c r="H486" s="48" t="s">
        <v>341</v>
      </c>
      <c r="I486" s="48"/>
      <c r="J486" s="84"/>
      <c r="K486" s="85"/>
      <c r="L486" s="47"/>
      <c r="M486" s="3">
        <f>3.49-0.24+3.23+1.48*3+3.14+2.58-0.24</f>
        <v>16.400000000000002</v>
      </c>
      <c r="N486" s="3">
        <f t="shared" si="697"/>
        <v>2.6999999999999993</v>
      </c>
      <c r="O486" s="22">
        <v>0.24</v>
      </c>
      <c r="P486" s="23">
        <v>1</v>
      </c>
      <c r="Q486" s="3"/>
      <c r="R486" s="3"/>
      <c r="S486" s="3"/>
      <c r="T486" s="3"/>
      <c r="U486" s="3"/>
      <c r="V486" s="23"/>
      <c r="W486" s="3"/>
      <c r="X486" s="3"/>
      <c r="Y486" s="17"/>
      <c r="Z486" s="17"/>
      <c r="AA486" s="3"/>
      <c r="AB486" s="3"/>
      <c r="AC486" s="3"/>
      <c r="AD486" s="3"/>
      <c r="AE486" s="3">
        <f t="shared" si="695"/>
        <v>16.400000000000002</v>
      </c>
      <c r="AF486" s="3"/>
      <c r="AG486" s="3"/>
      <c r="AH486" s="3">
        <v>0.2</v>
      </c>
      <c r="AI486" s="3">
        <f>O486</f>
        <v>0.24</v>
      </c>
      <c r="AJ486" s="3">
        <f t="shared" si="696"/>
        <v>6.5600000000000014</v>
      </c>
      <c r="AK486" s="12">
        <f t="shared" si="698"/>
        <v>44.279999999999994</v>
      </c>
      <c r="AL486" s="12">
        <f t="shared" si="699"/>
        <v>44.279999999999994</v>
      </c>
      <c r="AM486" s="12">
        <f t="shared" si="700"/>
        <v>10.627199999999998</v>
      </c>
      <c r="AN486" s="12">
        <f t="shared" si="701"/>
        <v>10.627199999999998</v>
      </c>
      <c r="AO486" s="12" t="str">
        <f t="shared" si="702"/>
        <v/>
      </c>
      <c r="AP486" s="12">
        <f t="shared" si="703"/>
        <v>16.400000000000002</v>
      </c>
      <c r="AQ486" s="12" t="str">
        <f t="shared" si="704"/>
        <v/>
      </c>
      <c r="AR486" s="12" t="str">
        <f t="shared" si="705"/>
        <v/>
      </c>
      <c r="AS486" s="12">
        <f t="shared" si="691"/>
        <v>0.78720000000000012</v>
      </c>
      <c r="AT486" s="12">
        <f t="shared" si="692"/>
        <v>6.5600000000000014</v>
      </c>
      <c r="AU486" s="12" t="str">
        <f t="shared" si="401"/>
        <v/>
      </c>
      <c r="AV486" s="17"/>
      <c r="AX486" s="4"/>
    </row>
    <row r="487" spans="1:50" x14ac:dyDescent="0.25">
      <c r="A487" s="43" t="s">
        <v>374</v>
      </c>
      <c r="B487" s="52"/>
      <c r="C487" s="44"/>
      <c r="D487" s="43"/>
      <c r="E487" s="52"/>
      <c r="F487" s="46"/>
      <c r="G487" s="76"/>
      <c r="H487" s="48" t="s">
        <v>361</v>
      </c>
      <c r="I487" s="48"/>
      <c r="J487" s="84"/>
      <c r="K487" s="85"/>
      <c r="L487" s="47" t="s">
        <v>332</v>
      </c>
      <c r="M487" s="3">
        <f>2.12*2</f>
        <v>4.24</v>
      </c>
      <c r="N487" s="3">
        <f>7.23-6.65</f>
        <v>0.58000000000000007</v>
      </c>
      <c r="O487" s="22">
        <v>0.17</v>
      </c>
      <c r="P487" s="23">
        <v>1</v>
      </c>
      <c r="Q487" s="3"/>
      <c r="R487" s="3"/>
      <c r="S487" s="3"/>
      <c r="T487" s="3"/>
      <c r="U487" s="3"/>
      <c r="V487" s="23"/>
      <c r="W487" s="3"/>
      <c r="X487" s="3"/>
      <c r="Y487" s="17"/>
      <c r="Z487" s="17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12">
        <f t="shared" si="698"/>
        <v>2.4592000000000005</v>
      </c>
      <c r="AL487" s="12">
        <f t="shared" si="699"/>
        <v>2.4592000000000005</v>
      </c>
      <c r="AM487" s="12">
        <f t="shared" si="700"/>
        <v>0.4180640000000001</v>
      </c>
      <c r="AN487" s="12">
        <f t="shared" si="701"/>
        <v>0.4180640000000001</v>
      </c>
      <c r="AO487" s="12" t="str">
        <f t="shared" si="702"/>
        <v/>
      </c>
      <c r="AP487" s="12">
        <f t="shared" si="703"/>
        <v>4.24</v>
      </c>
      <c r="AQ487" s="12" t="str">
        <f t="shared" si="704"/>
        <v/>
      </c>
      <c r="AR487" s="12" t="str">
        <f t="shared" si="705"/>
        <v/>
      </c>
      <c r="AS487" s="12" t="str">
        <f t="shared" si="691"/>
        <v/>
      </c>
      <c r="AT487" s="12" t="str">
        <f t="shared" si="692"/>
        <v/>
      </c>
      <c r="AU487" s="12" t="str">
        <f t="shared" si="401"/>
        <v/>
      </c>
      <c r="AV487" s="17"/>
      <c r="AX487" s="4"/>
    </row>
    <row r="488" spans="1:50" x14ac:dyDescent="0.25">
      <c r="A488" s="43" t="s">
        <v>374</v>
      </c>
      <c r="B488" s="52"/>
      <c r="C488" s="44"/>
      <c r="D488" s="43"/>
      <c r="E488" s="52"/>
      <c r="F488" s="46"/>
      <c r="G488" s="76" t="s">
        <v>402</v>
      </c>
      <c r="H488" s="48" t="s">
        <v>341</v>
      </c>
      <c r="I488" s="48"/>
      <c r="J488" s="84"/>
      <c r="K488" s="85"/>
      <c r="L488" s="47"/>
      <c r="M488" s="3">
        <f>2.34+2.13*6+1.175+2.935+2.49</f>
        <v>21.72</v>
      </c>
      <c r="N488" s="3">
        <f t="shared" si="697"/>
        <v>2.6999999999999993</v>
      </c>
      <c r="O488" s="22">
        <v>0.24</v>
      </c>
      <c r="P488" s="23">
        <v>1</v>
      </c>
      <c r="Q488" s="3"/>
      <c r="R488" s="3"/>
      <c r="S488" s="3"/>
      <c r="T488" s="3"/>
      <c r="U488" s="3"/>
      <c r="V488" s="23"/>
      <c r="W488" s="3"/>
      <c r="X488" s="3"/>
      <c r="Y488" s="17"/>
      <c r="Z488" s="17"/>
      <c r="AA488" s="3"/>
      <c r="AB488" s="3"/>
      <c r="AC488" s="3"/>
      <c r="AD488" s="3"/>
      <c r="AE488" s="3">
        <f t="shared" si="695"/>
        <v>21.72</v>
      </c>
      <c r="AF488" s="3"/>
      <c r="AG488" s="3"/>
      <c r="AH488" s="3">
        <v>0.2</v>
      </c>
      <c r="AI488" s="3">
        <f>O488</f>
        <v>0.24</v>
      </c>
      <c r="AJ488" s="3">
        <f t="shared" si="696"/>
        <v>8.6880000000000006</v>
      </c>
      <c r="AK488" s="12">
        <f t="shared" si="698"/>
        <v>58.643999999999984</v>
      </c>
      <c r="AL488" s="12">
        <f t="shared" si="699"/>
        <v>58.643999999999984</v>
      </c>
      <c r="AM488" s="12">
        <f t="shared" si="700"/>
        <v>14.074559999999996</v>
      </c>
      <c r="AN488" s="12">
        <f t="shared" si="701"/>
        <v>14.074559999999996</v>
      </c>
      <c r="AO488" s="12" t="str">
        <f t="shared" si="702"/>
        <v/>
      </c>
      <c r="AP488" s="12">
        <f t="shared" si="703"/>
        <v>21.72</v>
      </c>
      <c r="AQ488" s="12" t="str">
        <f t="shared" si="704"/>
        <v/>
      </c>
      <c r="AR488" s="12" t="str">
        <f t="shared" si="705"/>
        <v/>
      </c>
      <c r="AS488" s="12">
        <f t="shared" si="691"/>
        <v>1.0425599999999999</v>
      </c>
      <c r="AT488" s="12">
        <f t="shared" si="692"/>
        <v>8.6880000000000006</v>
      </c>
      <c r="AU488" s="12" t="str">
        <f t="shared" si="401"/>
        <v/>
      </c>
      <c r="AV488" s="17"/>
      <c r="AX488" s="4"/>
    </row>
    <row r="489" spans="1:50" x14ac:dyDescent="0.25">
      <c r="A489" s="43" t="s">
        <v>374</v>
      </c>
      <c r="B489" s="52"/>
      <c r="C489" s="44"/>
      <c r="D489" s="43"/>
      <c r="E489" s="52"/>
      <c r="F489" s="46"/>
      <c r="G489" s="76"/>
      <c r="H489" s="48" t="s">
        <v>361</v>
      </c>
      <c r="I489" s="48"/>
      <c r="J489" s="84"/>
      <c r="K489" s="85"/>
      <c r="L489" s="47" t="s">
        <v>332</v>
      </c>
      <c r="M489" s="3">
        <f>2.12*7</f>
        <v>14.84</v>
      </c>
      <c r="N489" s="3">
        <f>7.23-6.65</f>
        <v>0.58000000000000007</v>
      </c>
      <c r="O489" s="22">
        <v>0.17</v>
      </c>
      <c r="P489" s="23">
        <v>1</v>
      </c>
      <c r="Q489" s="3"/>
      <c r="R489" s="3"/>
      <c r="S489" s="3"/>
      <c r="T489" s="3"/>
      <c r="U489" s="3"/>
      <c r="V489" s="23"/>
      <c r="W489" s="3"/>
      <c r="X489" s="3"/>
      <c r="Y489" s="17"/>
      <c r="Z489" s="17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12">
        <f t="shared" si="698"/>
        <v>8.6072000000000006</v>
      </c>
      <c r="AL489" s="12">
        <f t="shared" si="699"/>
        <v>8.6072000000000006</v>
      </c>
      <c r="AM489" s="12">
        <f t="shared" si="700"/>
        <v>1.4632240000000003</v>
      </c>
      <c r="AN489" s="12">
        <f t="shared" si="701"/>
        <v>1.4632240000000003</v>
      </c>
      <c r="AO489" s="12" t="str">
        <f t="shared" si="702"/>
        <v/>
      </c>
      <c r="AP489" s="12">
        <f t="shared" si="703"/>
        <v>14.84</v>
      </c>
      <c r="AQ489" s="12" t="str">
        <f t="shared" si="704"/>
        <v/>
      </c>
      <c r="AR489" s="12" t="str">
        <f t="shared" si="705"/>
        <v/>
      </c>
      <c r="AS489" s="12" t="str">
        <f t="shared" si="691"/>
        <v/>
      </c>
      <c r="AT489" s="12" t="str">
        <f t="shared" si="692"/>
        <v/>
      </c>
      <c r="AU489" s="12" t="str">
        <f t="shared" si="401"/>
        <v/>
      </c>
      <c r="AV489" s="17"/>
      <c r="AX489" s="4"/>
    </row>
    <row r="490" spans="1:50" x14ac:dyDescent="0.25">
      <c r="A490" s="43" t="s">
        <v>374</v>
      </c>
      <c r="B490" s="52"/>
      <c r="C490" s="44"/>
      <c r="D490" s="43"/>
      <c r="E490" s="52"/>
      <c r="F490" s="46"/>
      <c r="G490" s="76" t="s">
        <v>403</v>
      </c>
      <c r="H490" s="48" t="s">
        <v>341</v>
      </c>
      <c r="I490" s="48"/>
      <c r="J490" s="84"/>
      <c r="K490" s="85"/>
      <c r="L490" s="47"/>
      <c r="M490" s="3">
        <f>1.59-0.24+2.83+1.54-0.24</f>
        <v>5.4799999999999995</v>
      </c>
      <c r="N490" s="3">
        <f t="shared" si="697"/>
        <v>2.6999999999999993</v>
      </c>
      <c r="O490" s="22">
        <v>0.24</v>
      </c>
      <c r="P490" s="23">
        <v>1</v>
      </c>
      <c r="Q490" s="3"/>
      <c r="R490" s="3"/>
      <c r="S490" s="3"/>
      <c r="T490" s="3"/>
      <c r="U490" s="3"/>
      <c r="V490" s="23"/>
      <c r="W490" s="3"/>
      <c r="X490" s="3"/>
      <c r="Y490" s="17"/>
      <c r="Z490" s="17"/>
      <c r="AA490" s="3"/>
      <c r="AB490" s="3"/>
      <c r="AC490" s="3"/>
      <c r="AD490" s="3"/>
      <c r="AE490" s="3">
        <f t="shared" si="695"/>
        <v>5.4799999999999995</v>
      </c>
      <c r="AF490" s="3"/>
      <c r="AG490" s="3"/>
      <c r="AH490" s="3">
        <v>0.2</v>
      </c>
      <c r="AI490" s="3">
        <f>O490</f>
        <v>0.24</v>
      </c>
      <c r="AJ490" s="3">
        <f t="shared" si="696"/>
        <v>2.1919999999999997</v>
      </c>
      <c r="AK490" s="12">
        <f t="shared" si="698"/>
        <v>14.795999999999994</v>
      </c>
      <c r="AL490" s="12">
        <f t="shared" si="699"/>
        <v>14.795999999999994</v>
      </c>
      <c r="AM490" s="12">
        <f t="shared" si="700"/>
        <v>3.5510399999999986</v>
      </c>
      <c r="AN490" s="12">
        <f t="shared" si="701"/>
        <v>3.5510399999999986</v>
      </c>
      <c r="AO490" s="12" t="str">
        <f t="shared" si="702"/>
        <v/>
      </c>
      <c r="AP490" s="12">
        <f t="shared" si="703"/>
        <v>5.4799999999999995</v>
      </c>
      <c r="AQ490" s="12" t="str">
        <f t="shared" si="704"/>
        <v/>
      </c>
      <c r="AR490" s="12" t="str">
        <f t="shared" si="705"/>
        <v/>
      </c>
      <c r="AS490" s="12">
        <f t="shared" si="691"/>
        <v>0.26303999999999994</v>
      </c>
      <c r="AT490" s="12">
        <f t="shared" si="692"/>
        <v>2.1919999999999997</v>
      </c>
      <c r="AU490" s="12" t="str">
        <f t="shared" si="401"/>
        <v/>
      </c>
      <c r="AV490" s="17"/>
      <c r="AX490" s="4"/>
    </row>
    <row r="491" spans="1:50" x14ac:dyDescent="0.25">
      <c r="A491" s="43" t="s">
        <v>374</v>
      </c>
      <c r="B491" s="52"/>
      <c r="C491" s="44"/>
      <c r="D491" s="43"/>
      <c r="E491" s="52"/>
      <c r="F491" s="46"/>
      <c r="G491" s="76"/>
      <c r="H491" s="48" t="s">
        <v>361</v>
      </c>
      <c r="I491" s="48"/>
      <c r="J491" s="84"/>
      <c r="K491" s="85"/>
      <c r="L491" s="47" t="s">
        <v>332</v>
      </c>
      <c r="M491" s="3">
        <f>2.12*2</f>
        <v>4.24</v>
      </c>
      <c r="N491" s="3">
        <f>7.23-6.65</f>
        <v>0.58000000000000007</v>
      </c>
      <c r="O491" s="22">
        <v>0.17</v>
      </c>
      <c r="P491" s="23">
        <v>1</v>
      </c>
      <c r="Q491" s="3"/>
      <c r="R491" s="3"/>
      <c r="S491" s="3"/>
      <c r="T491" s="3"/>
      <c r="U491" s="3"/>
      <c r="V491" s="23"/>
      <c r="W491" s="3"/>
      <c r="X491" s="3"/>
      <c r="Y491" s="17"/>
      <c r="Z491" s="17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12">
        <f t="shared" si="698"/>
        <v>2.4592000000000005</v>
      </c>
      <c r="AL491" s="12">
        <f t="shared" si="699"/>
        <v>2.4592000000000005</v>
      </c>
      <c r="AM491" s="12">
        <f t="shared" si="700"/>
        <v>0.4180640000000001</v>
      </c>
      <c r="AN491" s="12">
        <f t="shared" si="701"/>
        <v>0.4180640000000001</v>
      </c>
      <c r="AO491" s="12" t="str">
        <f t="shared" si="702"/>
        <v/>
      </c>
      <c r="AP491" s="12">
        <f t="shared" si="703"/>
        <v>4.24</v>
      </c>
      <c r="AQ491" s="12" t="str">
        <f t="shared" si="704"/>
        <v/>
      </c>
      <c r="AR491" s="12" t="str">
        <f t="shared" si="705"/>
        <v/>
      </c>
      <c r="AS491" s="12" t="str">
        <f t="shared" si="691"/>
        <v/>
      </c>
      <c r="AT491" s="12" t="str">
        <f t="shared" si="692"/>
        <v/>
      </c>
      <c r="AU491" s="12" t="str">
        <f t="shared" si="401"/>
        <v/>
      </c>
      <c r="AV491" s="17"/>
      <c r="AX491" s="4"/>
    </row>
    <row r="492" spans="1:50" x14ac:dyDescent="0.25">
      <c r="A492" s="43" t="s">
        <v>374</v>
      </c>
      <c r="B492" s="52"/>
      <c r="C492" s="44"/>
      <c r="D492" s="43"/>
      <c r="E492" s="52"/>
      <c r="F492" s="46"/>
      <c r="G492" s="76" t="s">
        <v>404</v>
      </c>
      <c r="H492" s="48" t="s">
        <v>341</v>
      </c>
      <c r="I492" s="48"/>
      <c r="J492" s="84"/>
      <c r="K492" s="85"/>
      <c r="L492" s="47"/>
      <c r="M492" s="3">
        <f>5.84-M493</f>
        <v>1.6899999999999995</v>
      </c>
      <c r="N492" s="3">
        <f>9.3-6.65</f>
        <v>2.6500000000000004</v>
      </c>
      <c r="O492" s="22">
        <v>0.24</v>
      </c>
      <c r="P492" s="23">
        <v>1</v>
      </c>
      <c r="Q492" s="3"/>
      <c r="R492" s="3"/>
      <c r="S492" s="3"/>
      <c r="T492" s="3"/>
      <c r="U492" s="3"/>
      <c r="V492" s="23"/>
      <c r="W492" s="3"/>
      <c r="X492" s="3"/>
      <c r="Y492" s="17"/>
      <c r="Z492" s="17"/>
      <c r="AA492" s="3"/>
      <c r="AB492" s="3"/>
      <c r="AC492" s="3"/>
      <c r="AD492" s="3"/>
      <c r="AE492" s="3">
        <f t="shared" si="695"/>
        <v>1.6899999999999995</v>
      </c>
      <c r="AF492" s="3"/>
      <c r="AG492" s="3"/>
      <c r="AH492" s="3">
        <v>0.2</v>
      </c>
      <c r="AI492" s="3">
        <f>O492</f>
        <v>0.24</v>
      </c>
      <c r="AJ492" s="3">
        <f t="shared" si="696"/>
        <v>0.67599999999999982</v>
      </c>
      <c r="AK492" s="12">
        <f t="shared" si="698"/>
        <v>4.4784999999999995</v>
      </c>
      <c r="AL492" s="12">
        <f t="shared" si="699"/>
        <v>4.4784999999999995</v>
      </c>
      <c r="AM492" s="12">
        <f t="shared" si="700"/>
        <v>1.0748399999999998</v>
      </c>
      <c r="AN492" s="12">
        <f t="shared" si="701"/>
        <v>1.0748399999999998</v>
      </c>
      <c r="AO492" s="12" t="str">
        <f t="shared" si="702"/>
        <v/>
      </c>
      <c r="AP492" s="12">
        <f t="shared" si="703"/>
        <v>1.6899999999999995</v>
      </c>
      <c r="AQ492" s="12" t="str">
        <f t="shared" si="704"/>
        <v/>
      </c>
      <c r="AR492" s="12" t="str">
        <f t="shared" si="705"/>
        <v/>
      </c>
      <c r="AS492" s="12">
        <f t="shared" si="691"/>
        <v>8.111999999999997E-2</v>
      </c>
      <c r="AT492" s="12">
        <f t="shared" si="692"/>
        <v>0.67599999999999982</v>
      </c>
      <c r="AU492" s="12" t="str">
        <f t="shared" ref="AU492:AU523" si="714">IF(OR(H492="s1",H492="s2",H492="s3",H492="s4",H492="s4*",H492="s5",H492="s12",H492="s16"),IF(M492&gt;=4,M492,""),"")</f>
        <v/>
      </c>
      <c r="AV492" s="17"/>
      <c r="AX492" s="4"/>
    </row>
    <row r="493" spans="1:50" x14ac:dyDescent="0.25">
      <c r="A493" s="43" t="s">
        <v>374</v>
      </c>
      <c r="B493" s="52"/>
      <c r="C493" s="44"/>
      <c r="D493" s="43"/>
      <c r="E493" s="52"/>
      <c r="F493" s="46"/>
      <c r="G493" s="76"/>
      <c r="H493" s="48" t="s">
        <v>341</v>
      </c>
      <c r="I493" s="48"/>
      <c r="J493" s="84"/>
      <c r="K493" s="85"/>
      <c r="L493" s="47"/>
      <c r="M493" s="3">
        <v>4.1500000000000004</v>
      </c>
      <c r="N493" s="3">
        <f>9.35-6.65</f>
        <v>2.6999999999999993</v>
      </c>
      <c r="O493" s="22">
        <v>0.24</v>
      </c>
      <c r="P493" s="23">
        <v>1</v>
      </c>
      <c r="Q493" s="3"/>
      <c r="R493" s="3"/>
      <c r="S493" s="3"/>
      <c r="T493" s="3"/>
      <c r="U493" s="3"/>
      <c r="V493" s="23"/>
      <c r="W493" s="3"/>
      <c r="X493" s="3"/>
      <c r="Y493" s="17"/>
      <c r="Z493" s="17"/>
      <c r="AA493" s="3"/>
      <c r="AB493" s="3"/>
      <c r="AC493" s="3"/>
      <c r="AD493" s="3"/>
      <c r="AE493" s="3">
        <f t="shared" si="695"/>
        <v>4.1500000000000004</v>
      </c>
      <c r="AF493" s="3"/>
      <c r="AG493" s="3"/>
      <c r="AH493" s="3">
        <v>0.2</v>
      </c>
      <c r="AI493" s="3">
        <f>O493</f>
        <v>0.24</v>
      </c>
      <c r="AJ493" s="3">
        <f t="shared" si="696"/>
        <v>1.6600000000000001</v>
      </c>
      <c r="AK493" s="12">
        <f t="shared" ref="AK493" si="715">IF(((M493*N493)-Q493-R493-S493+T493+U493)=0,"",((M493*N493)-Q493-R493-S493+T493+U493))</f>
        <v>11.204999999999998</v>
      </c>
      <c r="AL493" s="12">
        <f t="shared" ref="AL493" si="716">IF(PRODUCT(P493,AK493)=0,"",P493*AK493)</f>
        <v>11.204999999999998</v>
      </c>
      <c r="AM493" s="12">
        <f t="shared" ref="AM493" si="717">IF(PRODUCT(AK493,O493)=0,"",AK493*O493)</f>
        <v>2.6891999999999996</v>
      </c>
      <c r="AN493" s="12">
        <f t="shared" ref="AN493" si="718">IF(PRODUCT(AM493,P493)=0,"",AM493*P493)</f>
        <v>2.6891999999999996</v>
      </c>
      <c r="AO493" s="12" t="str">
        <f t="shared" ref="AO493" si="719">IF(N493*V493-W493+X493=0,"",N493*V493-W493+X493)</f>
        <v/>
      </c>
      <c r="AP493" s="12">
        <f t="shared" ref="AP493" si="720">IF(PRODUCT(M493,P493)=0,"",M493*P493)</f>
        <v>4.1500000000000004</v>
      </c>
      <c r="AQ493" s="12" t="str">
        <f t="shared" ref="AQ493" si="721">IF(AA493+AB493=0,"",AA493+AB493)</f>
        <v/>
      </c>
      <c r="AR493" s="12" t="str">
        <f t="shared" ref="AR493" si="722">IF(AC493+AD493=0,"",AC493+AD493)</f>
        <v/>
      </c>
      <c r="AS493" s="12">
        <f t="shared" si="691"/>
        <v>0.19920000000000002</v>
      </c>
      <c r="AT493" s="12">
        <f t="shared" si="692"/>
        <v>1.6600000000000001</v>
      </c>
      <c r="AU493" s="12" t="str">
        <f t="shared" si="714"/>
        <v/>
      </c>
      <c r="AV493" s="17"/>
      <c r="AX493" s="4"/>
    </row>
    <row r="494" spans="1:50" x14ac:dyDescent="0.25">
      <c r="A494" s="43" t="s">
        <v>374</v>
      </c>
      <c r="B494" s="52"/>
      <c r="C494" s="44"/>
      <c r="D494" s="43"/>
      <c r="E494" s="52"/>
      <c r="F494" s="46"/>
      <c r="G494" s="76" t="s">
        <v>405</v>
      </c>
      <c r="H494" s="48" t="s">
        <v>341</v>
      </c>
      <c r="I494" s="48"/>
      <c r="J494" s="84"/>
      <c r="K494" s="85"/>
      <c r="L494" s="47"/>
      <c r="M494" s="3">
        <v>5.35</v>
      </c>
      <c r="N494" s="3">
        <f t="shared" si="697"/>
        <v>2.6999999999999993</v>
      </c>
      <c r="O494" s="22">
        <v>0.24</v>
      </c>
      <c r="P494" s="23">
        <v>1</v>
      </c>
      <c r="Q494" s="3"/>
      <c r="R494" s="3"/>
      <c r="S494" s="3"/>
      <c r="T494" s="3"/>
      <c r="U494" s="3"/>
      <c r="V494" s="23"/>
      <c r="W494" s="3"/>
      <c r="X494" s="3"/>
      <c r="Y494" s="17"/>
      <c r="Z494" s="17"/>
      <c r="AA494" s="3"/>
      <c r="AB494" s="3"/>
      <c r="AC494" s="3"/>
      <c r="AD494" s="3"/>
      <c r="AE494" s="3">
        <f t="shared" si="695"/>
        <v>5.35</v>
      </c>
      <c r="AF494" s="3"/>
      <c r="AG494" s="3"/>
      <c r="AH494" s="3">
        <v>0.2</v>
      </c>
      <c r="AI494" s="3">
        <f>O494</f>
        <v>0.24</v>
      </c>
      <c r="AJ494" s="3">
        <f t="shared" si="696"/>
        <v>2.14</v>
      </c>
      <c r="AK494" s="12">
        <f t="shared" si="698"/>
        <v>14.444999999999995</v>
      </c>
      <c r="AL494" s="12">
        <f t="shared" si="699"/>
        <v>14.444999999999995</v>
      </c>
      <c r="AM494" s="12">
        <f t="shared" si="700"/>
        <v>3.4667999999999988</v>
      </c>
      <c r="AN494" s="12">
        <f t="shared" si="701"/>
        <v>3.4667999999999988</v>
      </c>
      <c r="AO494" s="12" t="str">
        <f t="shared" si="702"/>
        <v/>
      </c>
      <c r="AP494" s="12">
        <f t="shared" si="703"/>
        <v>5.35</v>
      </c>
      <c r="AQ494" s="12" t="str">
        <f t="shared" si="704"/>
        <v/>
      </c>
      <c r="AR494" s="12" t="str">
        <f t="shared" si="705"/>
        <v/>
      </c>
      <c r="AS494" s="12">
        <f t="shared" si="691"/>
        <v>0.25680000000000003</v>
      </c>
      <c r="AT494" s="12">
        <f t="shared" si="692"/>
        <v>2.14</v>
      </c>
      <c r="AU494" s="12" t="str">
        <f t="shared" si="714"/>
        <v/>
      </c>
      <c r="AV494" s="17"/>
      <c r="AX494" s="4"/>
    </row>
    <row r="495" spans="1:50" x14ac:dyDescent="0.25">
      <c r="A495" s="43" t="s">
        <v>374</v>
      </c>
      <c r="B495" s="52"/>
      <c r="C495" s="44"/>
      <c r="D495" s="43"/>
      <c r="E495" s="52"/>
      <c r="F495" s="46"/>
      <c r="G495" s="76"/>
      <c r="H495" s="48" t="s">
        <v>361</v>
      </c>
      <c r="I495" s="48"/>
      <c r="J495" s="84"/>
      <c r="K495" s="85"/>
      <c r="L495" s="47" t="s">
        <v>332</v>
      </c>
      <c r="M495" s="3">
        <v>0.6</v>
      </c>
      <c r="N495" s="3">
        <f>7.23-6.65</f>
        <v>0.58000000000000007</v>
      </c>
      <c r="O495" s="22">
        <v>0.17</v>
      </c>
      <c r="P495" s="23">
        <v>1</v>
      </c>
      <c r="Q495" s="3"/>
      <c r="R495" s="3"/>
      <c r="S495" s="3"/>
      <c r="T495" s="3"/>
      <c r="U495" s="3"/>
      <c r="V495" s="23"/>
      <c r="W495" s="3"/>
      <c r="X495" s="3"/>
      <c r="Y495" s="17"/>
      <c r="Z495" s="17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12">
        <f t="shared" si="698"/>
        <v>0.34800000000000003</v>
      </c>
      <c r="AL495" s="12">
        <f t="shared" si="699"/>
        <v>0.34800000000000003</v>
      </c>
      <c r="AM495" s="12">
        <f t="shared" si="700"/>
        <v>5.9160000000000011E-2</v>
      </c>
      <c r="AN495" s="12">
        <f t="shared" si="701"/>
        <v>5.9160000000000011E-2</v>
      </c>
      <c r="AO495" s="12" t="str">
        <f t="shared" si="702"/>
        <v/>
      </c>
      <c r="AP495" s="12">
        <f t="shared" si="703"/>
        <v>0.6</v>
      </c>
      <c r="AQ495" s="12" t="str">
        <f t="shared" si="704"/>
        <v/>
      </c>
      <c r="AR495" s="12" t="str">
        <f t="shared" si="705"/>
        <v/>
      </c>
      <c r="AS495" s="12" t="str">
        <f t="shared" si="691"/>
        <v/>
      </c>
      <c r="AT495" s="12" t="str">
        <f t="shared" si="692"/>
        <v/>
      </c>
      <c r="AU495" s="12" t="str">
        <f t="shared" si="714"/>
        <v/>
      </c>
      <c r="AV495" s="17"/>
      <c r="AX495" s="4"/>
    </row>
    <row r="496" spans="1:50" x14ac:dyDescent="0.25">
      <c r="A496" s="43" t="s">
        <v>374</v>
      </c>
      <c r="B496" s="52"/>
      <c r="C496" s="44"/>
      <c r="D496" s="43"/>
      <c r="E496" s="52"/>
      <c r="F496" s="46"/>
      <c r="G496" s="76" t="s">
        <v>406</v>
      </c>
      <c r="H496" s="48" t="s">
        <v>341</v>
      </c>
      <c r="I496" s="48"/>
      <c r="J496" s="84"/>
      <c r="K496" s="85"/>
      <c r="L496" s="47"/>
      <c r="M496" s="3">
        <f>2.38-0.24</f>
        <v>2.1399999999999997</v>
      </c>
      <c r="N496" s="3">
        <f t="shared" si="697"/>
        <v>2.6999999999999993</v>
      </c>
      <c r="O496" s="22">
        <v>0.24</v>
      </c>
      <c r="P496" s="23">
        <v>1</v>
      </c>
      <c r="Q496" s="3"/>
      <c r="R496" s="3"/>
      <c r="S496" s="3"/>
      <c r="T496" s="3"/>
      <c r="U496" s="3"/>
      <c r="V496" s="23"/>
      <c r="W496" s="3"/>
      <c r="X496" s="3"/>
      <c r="Y496" s="17"/>
      <c r="Z496" s="17"/>
      <c r="AA496" s="3"/>
      <c r="AB496" s="3"/>
      <c r="AC496" s="3"/>
      <c r="AD496" s="3"/>
      <c r="AE496" s="3">
        <f t="shared" si="695"/>
        <v>2.1399999999999997</v>
      </c>
      <c r="AF496" s="3"/>
      <c r="AG496" s="3"/>
      <c r="AH496" s="3">
        <v>0.2</v>
      </c>
      <c r="AI496" s="3">
        <f>O496</f>
        <v>0.24</v>
      </c>
      <c r="AJ496" s="3">
        <f t="shared" si="696"/>
        <v>0.85599999999999987</v>
      </c>
      <c r="AK496" s="12">
        <f t="shared" si="698"/>
        <v>5.7779999999999978</v>
      </c>
      <c r="AL496" s="12">
        <f t="shared" si="699"/>
        <v>5.7779999999999978</v>
      </c>
      <c r="AM496" s="12">
        <f t="shared" si="700"/>
        <v>1.3867199999999995</v>
      </c>
      <c r="AN496" s="12">
        <f t="shared" si="701"/>
        <v>1.3867199999999995</v>
      </c>
      <c r="AO496" s="12" t="str">
        <f t="shared" si="702"/>
        <v/>
      </c>
      <c r="AP496" s="12">
        <f t="shared" si="703"/>
        <v>2.1399999999999997</v>
      </c>
      <c r="AQ496" s="12" t="str">
        <f t="shared" si="704"/>
        <v/>
      </c>
      <c r="AR496" s="12" t="str">
        <f t="shared" si="705"/>
        <v/>
      </c>
      <c r="AS496" s="12">
        <f t="shared" si="691"/>
        <v>0.10271999999999998</v>
      </c>
      <c r="AT496" s="12">
        <f t="shared" si="692"/>
        <v>0.85599999999999987</v>
      </c>
      <c r="AU496" s="12" t="str">
        <f t="shared" si="714"/>
        <v/>
      </c>
      <c r="AV496" s="17"/>
      <c r="AX496" s="4"/>
    </row>
    <row r="497" spans="1:50" x14ac:dyDescent="0.25">
      <c r="A497" s="43" t="s">
        <v>374</v>
      </c>
      <c r="B497" s="52"/>
      <c r="C497" s="44"/>
      <c r="D497" s="43"/>
      <c r="E497" s="52"/>
      <c r="F497" s="46"/>
      <c r="G497" s="76"/>
      <c r="H497" s="48" t="s">
        <v>341</v>
      </c>
      <c r="I497" s="48"/>
      <c r="J497" s="84"/>
      <c r="K497" s="85"/>
      <c r="L497" s="47"/>
      <c r="M497" s="3">
        <f>2.64+0.24</f>
        <v>2.88</v>
      </c>
      <c r="N497" s="3">
        <f>9.3-6.65</f>
        <v>2.6500000000000004</v>
      </c>
      <c r="O497" s="22">
        <v>0.24</v>
      </c>
      <c r="P497" s="23">
        <v>1</v>
      </c>
      <c r="Q497" s="3"/>
      <c r="R497" s="3"/>
      <c r="S497" s="3"/>
      <c r="T497" s="3"/>
      <c r="U497" s="3"/>
      <c r="V497" s="23"/>
      <c r="W497" s="3"/>
      <c r="X497" s="3"/>
      <c r="Y497" s="17"/>
      <c r="Z497" s="17"/>
      <c r="AA497" s="3"/>
      <c r="AB497" s="3"/>
      <c r="AC497" s="3"/>
      <c r="AD497" s="3"/>
      <c r="AE497" s="3">
        <f t="shared" si="695"/>
        <v>2.88</v>
      </c>
      <c r="AF497" s="3"/>
      <c r="AG497" s="3"/>
      <c r="AH497" s="3">
        <v>0.2</v>
      </c>
      <c r="AI497" s="3">
        <f>O497</f>
        <v>0.24</v>
      </c>
      <c r="AJ497" s="3">
        <f t="shared" si="696"/>
        <v>1.1519999999999999</v>
      </c>
      <c r="AK497" s="12">
        <f t="shared" si="698"/>
        <v>7.6320000000000006</v>
      </c>
      <c r="AL497" s="12">
        <f t="shared" si="699"/>
        <v>7.6320000000000006</v>
      </c>
      <c r="AM497" s="12">
        <f t="shared" si="700"/>
        <v>1.83168</v>
      </c>
      <c r="AN497" s="12">
        <f t="shared" si="701"/>
        <v>1.83168</v>
      </c>
      <c r="AO497" s="12" t="str">
        <f t="shared" si="702"/>
        <v/>
      </c>
      <c r="AP497" s="12">
        <f t="shared" si="703"/>
        <v>2.88</v>
      </c>
      <c r="AQ497" s="12" t="str">
        <f t="shared" si="704"/>
        <v/>
      </c>
      <c r="AR497" s="12" t="str">
        <f t="shared" si="705"/>
        <v/>
      </c>
      <c r="AS497" s="12">
        <f t="shared" si="691"/>
        <v>0.13823999999999997</v>
      </c>
      <c r="AT497" s="12">
        <f t="shared" si="692"/>
        <v>1.1519999999999999</v>
      </c>
      <c r="AU497" s="12" t="str">
        <f t="shared" si="714"/>
        <v/>
      </c>
      <c r="AV497" s="17"/>
      <c r="AX497" s="4"/>
    </row>
    <row r="498" spans="1:50" x14ac:dyDescent="0.25">
      <c r="A498" s="43" t="s">
        <v>374</v>
      </c>
      <c r="B498" s="52"/>
      <c r="C498" s="44"/>
      <c r="D498" s="43"/>
      <c r="E498" s="52"/>
      <c r="F498" s="46"/>
      <c r="G498" s="76" t="s">
        <v>407</v>
      </c>
      <c r="H498" s="48" t="s">
        <v>341</v>
      </c>
      <c r="I498" s="48"/>
      <c r="J498" s="84"/>
      <c r="K498" s="85"/>
      <c r="L498" s="47"/>
      <c r="M498" s="3">
        <f>4.64-0.24</f>
        <v>4.3999999999999995</v>
      </c>
      <c r="N498" s="3">
        <f t="shared" si="697"/>
        <v>2.6999999999999993</v>
      </c>
      <c r="O498" s="22">
        <v>0.24</v>
      </c>
      <c r="P498" s="23">
        <v>1</v>
      </c>
      <c r="Q498" s="3"/>
      <c r="R498" s="3"/>
      <c r="S498" s="3">
        <f>0.24*0.05</f>
        <v>1.2E-2</v>
      </c>
      <c r="T498" s="3"/>
      <c r="U498" s="3"/>
      <c r="V498" s="23"/>
      <c r="W498" s="3"/>
      <c r="X498" s="3"/>
      <c r="Y498" s="17"/>
      <c r="Z498" s="17"/>
      <c r="AA498" s="3"/>
      <c r="AB498" s="3"/>
      <c r="AC498" s="3"/>
      <c r="AD498" s="3"/>
      <c r="AE498" s="3">
        <f t="shared" si="695"/>
        <v>4.3999999999999995</v>
      </c>
      <c r="AF498" s="3"/>
      <c r="AG498" s="3"/>
      <c r="AH498" s="3">
        <v>0.2</v>
      </c>
      <c r="AI498" s="3">
        <f>O498</f>
        <v>0.24</v>
      </c>
      <c r="AJ498" s="3">
        <f t="shared" si="696"/>
        <v>1.7599999999999998</v>
      </c>
      <c r="AK498" s="12">
        <f t="shared" si="698"/>
        <v>11.867999999999995</v>
      </c>
      <c r="AL498" s="12">
        <f t="shared" si="699"/>
        <v>11.867999999999995</v>
      </c>
      <c r="AM498" s="12">
        <f t="shared" si="700"/>
        <v>2.8483199999999989</v>
      </c>
      <c r="AN498" s="12">
        <f t="shared" si="701"/>
        <v>2.8483199999999989</v>
      </c>
      <c r="AO498" s="12" t="str">
        <f t="shared" si="702"/>
        <v/>
      </c>
      <c r="AP498" s="12">
        <f t="shared" si="703"/>
        <v>4.3999999999999995</v>
      </c>
      <c r="AQ498" s="12" t="str">
        <f t="shared" si="704"/>
        <v/>
      </c>
      <c r="AR498" s="12" t="str">
        <f t="shared" si="705"/>
        <v/>
      </c>
      <c r="AS498" s="12">
        <f t="shared" si="691"/>
        <v>0.21119999999999997</v>
      </c>
      <c r="AT498" s="12">
        <f t="shared" si="692"/>
        <v>1.7599999999999998</v>
      </c>
      <c r="AU498" s="12" t="str">
        <f t="shared" si="714"/>
        <v/>
      </c>
      <c r="AV498" s="17"/>
      <c r="AX498" s="4"/>
    </row>
    <row r="499" spans="1:50" x14ac:dyDescent="0.25">
      <c r="A499" s="43" t="s">
        <v>374</v>
      </c>
      <c r="B499" s="52"/>
      <c r="C499" s="44"/>
      <c r="D499" s="43"/>
      <c r="E499" s="52"/>
      <c r="F499" s="46"/>
      <c r="G499" s="76" t="s">
        <v>408</v>
      </c>
      <c r="H499" s="48" t="s">
        <v>341</v>
      </c>
      <c r="I499" s="48"/>
      <c r="J499" s="84"/>
      <c r="K499" s="85"/>
      <c r="L499" s="47"/>
      <c r="M499" s="3">
        <f>0.74+2.905+4.615</f>
        <v>8.26</v>
      </c>
      <c r="N499" s="3">
        <f t="shared" si="697"/>
        <v>2.6999999999999993</v>
      </c>
      <c r="O499" s="22">
        <v>0.24</v>
      </c>
      <c r="P499" s="23">
        <v>1</v>
      </c>
      <c r="Q499" s="3"/>
      <c r="R499" s="3"/>
      <c r="S499" s="3"/>
      <c r="T499" s="3"/>
      <c r="U499" s="3"/>
      <c r="V499" s="23"/>
      <c r="W499" s="3"/>
      <c r="X499" s="3"/>
      <c r="Y499" s="17"/>
      <c r="Z499" s="17"/>
      <c r="AA499" s="3"/>
      <c r="AB499" s="3"/>
      <c r="AC499" s="3"/>
      <c r="AD499" s="3"/>
      <c r="AE499" s="3">
        <f t="shared" si="695"/>
        <v>8.26</v>
      </c>
      <c r="AF499" s="3"/>
      <c r="AG499" s="3"/>
      <c r="AH499" s="3">
        <v>0.2</v>
      </c>
      <c r="AI499" s="3">
        <f>O499</f>
        <v>0.24</v>
      </c>
      <c r="AJ499" s="3">
        <f t="shared" si="696"/>
        <v>3.3040000000000003</v>
      </c>
      <c r="AK499" s="12">
        <f t="shared" si="698"/>
        <v>22.301999999999992</v>
      </c>
      <c r="AL499" s="12">
        <f t="shared" si="699"/>
        <v>22.301999999999992</v>
      </c>
      <c r="AM499" s="12">
        <f t="shared" si="700"/>
        <v>5.3524799999999981</v>
      </c>
      <c r="AN499" s="12">
        <f t="shared" si="701"/>
        <v>5.3524799999999981</v>
      </c>
      <c r="AO499" s="12" t="str">
        <f t="shared" si="702"/>
        <v/>
      </c>
      <c r="AP499" s="12">
        <f t="shared" si="703"/>
        <v>8.26</v>
      </c>
      <c r="AQ499" s="12" t="str">
        <f t="shared" si="704"/>
        <v/>
      </c>
      <c r="AR499" s="12" t="str">
        <f t="shared" si="705"/>
        <v/>
      </c>
      <c r="AS499" s="12">
        <f t="shared" si="691"/>
        <v>0.39648</v>
      </c>
      <c r="AT499" s="12">
        <f t="shared" si="692"/>
        <v>3.3040000000000003</v>
      </c>
      <c r="AU499" s="12" t="str">
        <f t="shared" si="714"/>
        <v/>
      </c>
      <c r="AV499" s="17"/>
      <c r="AX499" s="4"/>
    </row>
    <row r="500" spans="1:50" x14ac:dyDescent="0.25">
      <c r="A500" s="43" t="s">
        <v>374</v>
      </c>
      <c r="B500" s="52"/>
      <c r="C500" s="44"/>
      <c r="D500" s="43"/>
      <c r="E500" s="52"/>
      <c r="F500" s="46"/>
      <c r="G500" s="76" t="s">
        <v>409</v>
      </c>
      <c r="H500" s="48" t="s">
        <v>341</v>
      </c>
      <c r="I500" s="48"/>
      <c r="J500" s="84"/>
      <c r="K500" s="85"/>
      <c r="L500" s="47"/>
      <c r="M500" s="3">
        <f>1.19-0.24+2.13*4+2.58+1.33+1.24-0.24</f>
        <v>14.379999999999999</v>
      </c>
      <c r="N500" s="3">
        <f t="shared" si="697"/>
        <v>2.6999999999999993</v>
      </c>
      <c r="O500" s="22">
        <v>0.24</v>
      </c>
      <c r="P500" s="23">
        <v>1</v>
      </c>
      <c r="Q500" s="3"/>
      <c r="R500" s="3"/>
      <c r="S500" s="3"/>
      <c r="T500" s="3"/>
      <c r="U500" s="3"/>
      <c r="V500" s="23"/>
      <c r="W500" s="3"/>
      <c r="X500" s="3"/>
      <c r="Y500" s="17"/>
      <c r="Z500" s="17"/>
      <c r="AA500" s="3"/>
      <c r="AB500" s="3"/>
      <c r="AC500" s="3"/>
      <c r="AD500" s="3"/>
      <c r="AE500" s="3">
        <f t="shared" si="695"/>
        <v>14.379999999999999</v>
      </c>
      <c r="AF500" s="3"/>
      <c r="AG500" s="3"/>
      <c r="AH500" s="3">
        <v>0.2</v>
      </c>
      <c r="AI500" s="3">
        <f>O500</f>
        <v>0.24</v>
      </c>
      <c r="AJ500" s="3">
        <f t="shared" si="696"/>
        <v>5.7519999999999998</v>
      </c>
      <c r="AK500" s="12">
        <f t="shared" si="698"/>
        <v>38.825999999999986</v>
      </c>
      <c r="AL500" s="12">
        <f t="shared" si="699"/>
        <v>38.825999999999986</v>
      </c>
      <c r="AM500" s="12">
        <f t="shared" si="700"/>
        <v>9.3182399999999959</v>
      </c>
      <c r="AN500" s="12">
        <f t="shared" si="701"/>
        <v>9.3182399999999959</v>
      </c>
      <c r="AO500" s="12" t="str">
        <f t="shared" si="702"/>
        <v/>
      </c>
      <c r="AP500" s="12">
        <f t="shared" si="703"/>
        <v>14.379999999999999</v>
      </c>
      <c r="AQ500" s="12" t="str">
        <f t="shared" si="704"/>
        <v/>
      </c>
      <c r="AR500" s="12" t="str">
        <f t="shared" si="705"/>
        <v/>
      </c>
      <c r="AS500" s="12">
        <f t="shared" si="691"/>
        <v>0.69023999999999996</v>
      </c>
      <c r="AT500" s="12">
        <f t="shared" si="692"/>
        <v>5.7519999999999998</v>
      </c>
      <c r="AU500" s="12" t="str">
        <f t="shared" si="714"/>
        <v/>
      </c>
      <c r="AV500" s="17"/>
      <c r="AX500" s="4"/>
    </row>
    <row r="501" spans="1:50" x14ac:dyDescent="0.25">
      <c r="A501" s="43" t="s">
        <v>374</v>
      </c>
      <c r="B501" s="52"/>
      <c r="C501" s="44"/>
      <c r="D501" s="43"/>
      <c r="E501" s="52"/>
      <c r="F501" s="46"/>
      <c r="G501" s="76"/>
      <c r="H501" s="48" t="s">
        <v>361</v>
      </c>
      <c r="I501" s="48"/>
      <c r="J501" s="84"/>
      <c r="K501" s="85"/>
      <c r="L501" s="47" t="s">
        <v>332</v>
      </c>
      <c r="M501" s="3">
        <f>2.12*6</f>
        <v>12.72</v>
      </c>
      <c r="N501" s="3">
        <f>7.23-6.65</f>
        <v>0.58000000000000007</v>
      </c>
      <c r="O501" s="22">
        <v>0.17</v>
      </c>
      <c r="P501" s="23">
        <v>1</v>
      </c>
      <c r="Q501" s="3"/>
      <c r="R501" s="3"/>
      <c r="S501" s="3"/>
      <c r="T501" s="3"/>
      <c r="U501" s="3"/>
      <c r="V501" s="23"/>
      <c r="W501" s="3"/>
      <c r="X501" s="3"/>
      <c r="Y501" s="17"/>
      <c r="Z501" s="17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12">
        <f t="shared" si="698"/>
        <v>7.377600000000001</v>
      </c>
      <c r="AL501" s="12">
        <f t="shared" si="699"/>
        <v>7.377600000000001</v>
      </c>
      <c r="AM501" s="12">
        <f t="shared" si="700"/>
        <v>1.2541920000000002</v>
      </c>
      <c r="AN501" s="12">
        <f t="shared" si="701"/>
        <v>1.2541920000000002</v>
      </c>
      <c r="AO501" s="12" t="str">
        <f t="shared" si="702"/>
        <v/>
      </c>
      <c r="AP501" s="12">
        <f t="shared" si="703"/>
        <v>12.72</v>
      </c>
      <c r="AQ501" s="12" t="str">
        <f t="shared" si="704"/>
        <v/>
      </c>
      <c r="AR501" s="12" t="str">
        <f t="shared" si="705"/>
        <v/>
      </c>
      <c r="AS501" s="12" t="str">
        <f t="shared" si="691"/>
        <v/>
      </c>
      <c r="AT501" s="12" t="str">
        <f t="shared" si="692"/>
        <v/>
      </c>
      <c r="AU501" s="12" t="str">
        <f t="shared" si="714"/>
        <v/>
      </c>
      <c r="AV501" s="17"/>
      <c r="AX501" s="4"/>
    </row>
    <row r="502" spans="1:50" x14ac:dyDescent="0.25">
      <c r="A502" s="43" t="s">
        <v>374</v>
      </c>
      <c r="B502" s="52"/>
      <c r="C502" s="44"/>
      <c r="D502" s="43"/>
      <c r="E502" s="52"/>
      <c r="F502" s="46"/>
      <c r="G502" s="76" t="s">
        <v>412</v>
      </c>
      <c r="H502" s="48" t="s">
        <v>341</v>
      </c>
      <c r="I502" s="48"/>
      <c r="J502" s="84"/>
      <c r="K502" s="85"/>
      <c r="L502" s="47"/>
      <c r="M502" s="3">
        <v>4.4450000000000003</v>
      </c>
      <c r="N502" s="3">
        <f>9.55-6.65</f>
        <v>2.9000000000000004</v>
      </c>
      <c r="O502" s="22">
        <v>0.24</v>
      </c>
      <c r="P502" s="23">
        <v>1</v>
      </c>
      <c r="Q502" s="3"/>
      <c r="R502" s="3"/>
      <c r="S502" s="3"/>
      <c r="T502" s="3"/>
      <c r="U502" s="3"/>
      <c r="V502" s="23"/>
      <c r="W502" s="3"/>
      <c r="X502" s="3"/>
      <c r="Y502" s="17"/>
      <c r="Z502" s="17"/>
      <c r="AA502" s="3"/>
      <c r="AB502" s="3"/>
      <c r="AC502" s="3"/>
      <c r="AD502" s="3"/>
      <c r="AE502" s="3">
        <f t="shared" si="695"/>
        <v>4.4450000000000003</v>
      </c>
      <c r="AF502" s="3"/>
      <c r="AG502" s="3">
        <f>0.24*2</f>
        <v>0.48</v>
      </c>
      <c r="AH502" s="3">
        <v>0.2</v>
      </c>
      <c r="AI502" s="3">
        <f t="shared" ref="AI502:AI530" si="723">O502</f>
        <v>0.24</v>
      </c>
      <c r="AJ502" s="3">
        <f t="shared" si="696"/>
        <v>1.8740000000000003</v>
      </c>
      <c r="AK502" s="12">
        <f t="shared" si="698"/>
        <v>12.890500000000003</v>
      </c>
      <c r="AL502" s="12">
        <f t="shared" si="699"/>
        <v>12.890500000000003</v>
      </c>
      <c r="AM502" s="12">
        <f t="shared" si="700"/>
        <v>3.0937200000000007</v>
      </c>
      <c r="AN502" s="12">
        <f t="shared" si="701"/>
        <v>3.0937200000000007</v>
      </c>
      <c r="AO502" s="12" t="str">
        <f t="shared" si="702"/>
        <v/>
      </c>
      <c r="AP502" s="12">
        <f t="shared" si="703"/>
        <v>4.4450000000000003</v>
      </c>
      <c r="AQ502" s="12" t="str">
        <f t="shared" si="704"/>
        <v/>
      </c>
      <c r="AR502" s="12" t="str">
        <f t="shared" si="705"/>
        <v/>
      </c>
      <c r="AS502" s="12">
        <f t="shared" si="691"/>
        <v>0.21336000000000002</v>
      </c>
      <c r="AT502" s="12">
        <f t="shared" si="692"/>
        <v>1.8740000000000003</v>
      </c>
      <c r="AU502" s="12" t="str">
        <f t="shared" si="714"/>
        <v/>
      </c>
      <c r="AV502" s="17"/>
      <c r="AX502" s="4"/>
    </row>
    <row r="503" spans="1:50" x14ac:dyDescent="0.25">
      <c r="A503" s="43" t="s">
        <v>374</v>
      </c>
      <c r="B503" s="52"/>
      <c r="C503" s="44"/>
      <c r="D503" s="43"/>
      <c r="E503" s="52"/>
      <c r="F503" s="46"/>
      <c r="G503" s="76" t="s">
        <v>413</v>
      </c>
      <c r="H503" s="48" t="s">
        <v>341</v>
      </c>
      <c r="I503" s="48"/>
      <c r="J503" s="84"/>
      <c r="K503" s="85"/>
      <c r="L503" s="47"/>
      <c r="M503" s="3">
        <v>4.4450000000000003</v>
      </c>
      <c r="N503" s="3">
        <f t="shared" ref="N503:N530" si="724">9.55-6.65</f>
        <v>2.9000000000000004</v>
      </c>
      <c r="O503" s="22">
        <v>0.24</v>
      </c>
      <c r="P503" s="23">
        <v>1</v>
      </c>
      <c r="Q503" s="3"/>
      <c r="R503" s="3"/>
      <c r="S503" s="3"/>
      <c r="T503" s="3"/>
      <c r="U503" s="3"/>
      <c r="V503" s="23"/>
      <c r="W503" s="3"/>
      <c r="X503" s="3"/>
      <c r="Y503" s="17"/>
      <c r="Z503" s="17"/>
      <c r="AA503" s="3"/>
      <c r="AB503" s="3"/>
      <c r="AC503" s="3"/>
      <c r="AD503" s="3"/>
      <c r="AE503" s="3">
        <f t="shared" si="695"/>
        <v>4.4450000000000003</v>
      </c>
      <c r="AF503" s="3"/>
      <c r="AG503" s="3">
        <f>0.24*2</f>
        <v>0.48</v>
      </c>
      <c r="AH503" s="3">
        <v>0.2</v>
      </c>
      <c r="AI503" s="3">
        <f t="shared" si="723"/>
        <v>0.24</v>
      </c>
      <c r="AJ503" s="3">
        <f t="shared" si="696"/>
        <v>1.8740000000000003</v>
      </c>
      <c r="AK503" s="12">
        <f t="shared" si="698"/>
        <v>12.890500000000003</v>
      </c>
      <c r="AL503" s="12">
        <f t="shared" si="699"/>
        <v>12.890500000000003</v>
      </c>
      <c r="AM503" s="12">
        <f t="shared" si="700"/>
        <v>3.0937200000000007</v>
      </c>
      <c r="AN503" s="12">
        <f t="shared" si="701"/>
        <v>3.0937200000000007</v>
      </c>
      <c r="AO503" s="12" t="str">
        <f t="shared" si="702"/>
        <v/>
      </c>
      <c r="AP503" s="12">
        <f t="shared" si="703"/>
        <v>4.4450000000000003</v>
      </c>
      <c r="AQ503" s="12" t="str">
        <f t="shared" si="704"/>
        <v/>
      </c>
      <c r="AR503" s="12" t="str">
        <f t="shared" si="705"/>
        <v/>
      </c>
      <c r="AS503" s="12">
        <f t="shared" si="691"/>
        <v>0.21336000000000002</v>
      </c>
      <c r="AT503" s="12">
        <f t="shared" si="692"/>
        <v>1.8740000000000003</v>
      </c>
      <c r="AU503" s="12" t="str">
        <f t="shared" si="714"/>
        <v/>
      </c>
      <c r="AV503" s="17"/>
      <c r="AX503" s="4"/>
    </row>
    <row r="504" spans="1:50" x14ac:dyDescent="0.25">
      <c r="A504" s="43" t="s">
        <v>374</v>
      </c>
      <c r="B504" s="52"/>
      <c r="C504" s="44"/>
      <c r="D504" s="43"/>
      <c r="E504" s="52"/>
      <c r="F504" s="46"/>
      <c r="G504" s="76" t="s">
        <v>414</v>
      </c>
      <c r="H504" s="48" t="s">
        <v>341</v>
      </c>
      <c r="I504" s="48"/>
      <c r="J504" s="84"/>
      <c r="K504" s="85"/>
      <c r="L504" s="47"/>
      <c r="M504" s="3">
        <v>2.1850000000000001</v>
      </c>
      <c r="N504" s="3">
        <f t="shared" si="724"/>
        <v>2.9000000000000004</v>
      </c>
      <c r="O504" s="22">
        <v>0.24</v>
      </c>
      <c r="P504" s="23">
        <v>1</v>
      </c>
      <c r="Q504" s="3"/>
      <c r="R504" s="3"/>
      <c r="S504" s="3"/>
      <c r="T504" s="3"/>
      <c r="U504" s="3"/>
      <c r="V504" s="23"/>
      <c r="W504" s="3"/>
      <c r="X504" s="3"/>
      <c r="Y504" s="17"/>
      <c r="Z504" s="17"/>
      <c r="AA504" s="3"/>
      <c r="AB504" s="3"/>
      <c r="AC504" s="3"/>
      <c r="AD504" s="3"/>
      <c r="AE504" s="3">
        <f t="shared" si="695"/>
        <v>2.1850000000000001</v>
      </c>
      <c r="AF504" s="3"/>
      <c r="AG504" s="3">
        <v>0.24</v>
      </c>
      <c r="AH504" s="3">
        <v>0.2</v>
      </c>
      <c r="AI504" s="3">
        <f t="shared" si="723"/>
        <v>0.24</v>
      </c>
      <c r="AJ504" s="3">
        <f t="shared" si="696"/>
        <v>0.92200000000000015</v>
      </c>
      <c r="AK504" s="12">
        <f t="shared" si="698"/>
        <v>6.3365000000000009</v>
      </c>
      <c r="AL504" s="12">
        <f t="shared" si="699"/>
        <v>6.3365000000000009</v>
      </c>
      <c r="AM504" s="12">
        <f t="shared" si="700"/>
        <v>1.5207600000000001</v>
      </c>
      <c r="AN504" s="12">
        <f t="shared" si="701"/>
        <v>1.5207600000000001</v>
      </c>
      <c r="AO504" s="12" t="str">
        <f t="shared" si="702"/>
        <v/>
      </c>
      <c r="AP504" s="12">
        <f t="shared" si="703"/>
        <v>2.1850000000000001</v>
      </c>
      <c r="AQ504" s="12" t="str">
        <f t="shared" si="704"/>
        <v/>
      </c>
      <c r="AR504" s="12" t="str">
        <f t="shared" si="705"/>
        <v/>
      </c>
      <c r="AS504" s="12">
        <f t="shared" si="691"/>
        <v>0.10488000000000001</v>
      </c>
      <c r="AT504" s="12">
        <f t="shared" si="692"/>
        <v>0.92200000000000015</v>
      </c>
      <c r="AU504" s="12" t="str">
        <f t="shared" si="714"/>
        <v/>
      </c>
      <c r="AV504" s="17"/>
      <c r="AX504" s="4"/>
    </row>
    <row r="505" spans="1:50" x14ac:dyDescent="0.25">
      <c r="A505" s="43" t="s">
        <v>374</v>
      </c>
      <c r="B505" s="52"/>
      <c r="C505" s="44"/>
      <c r="D505" s="43"/>
      <c r="E505" s="52"/>
      <c r="F505" s="46"/>
      <c r="G505" s="76" t="s">
        <v>415</v>
      </c>
      <c r="H505" s="48" t="s">
        <v>341</v>
      </c>
      <c r="I505" s="48"/>
      <c r="J505" s="84"/>
      <c r="K505" s="85"/>
      <c r="L505" s="47"/>
      <c r="M505" s="3">
        <v>2.1850000000000001</v>
      </c>
      <c r="N505" s="3">
        <f t="shared" si="724"/>
        <v>2.9000000000000004</v>
      </c>
      <c r="O505" s="22">
        <v>0.24</v>
      </c>
      <c r="P505" s="23">
        <v>1</v>
      </c>
      <c r="Q505" s="3"/>
      <c r="R505" s="3"/>
      <c r="S505" s="3"/>
      <c r="T505" s="3"/>
      <c r="U505" s="3"/>
      <c r="V505" s="23"/>
      <c r="W505" s="3"/>
      <c r="X505" s="3"/>
      <c r="Y505" s="17"/>
      <c r="Z505" s="17"/>
      <c r="AA505" s="3"/>
      <c r="AB505" s="3"/>
      <c r="AC505" s="3"/>
      <c r="AD505" s="3"/>
      <c r="AE505" s="3">
        <f t="shared" si="695"/>
        <v>2.1850000000000001</v>
      </c>
      <c r="AF505" s="3"/>
      <c r="AG505" s="3">
        <v>0.24</v>
      </c>
      <c r="AH505" s="3">
        <v>0.2</v>
      </c>
      <c r="AI505" s="3">
        <f t="shared" si="723"/>
        <v>0.24</v>
      </c>
      <c r="AJ505" s="3">
        <f t="shared" si="696"/>
        <v>0.92200000000000015</v>
      </c>
      <c r="AK505" s="12">
        <f t="shared" si="698"/>
        <v>6.3365000000000009</v>
      </c>
      <c r="AL505" s="12">
        <f t="shared" si="699"/>
        <v>6.3365000000000009</v>
      </c>
      <c r="AM505" s="12">
        <f t="shared" si="700"/>
        <v>1.5207600000000001</v>
      </c>
      <c r="AN505" s="12">
        <f t="shared" si="701"/>
        <v>1.5207600000000001</v>
      </c>
      <c r="AO505" s="12" t="str">
        <f t="shared" si="702"/>
        <v/>
      </c>
      <c r="AP505" s="12">
        <f t="shared" si="703"/>
        <v>2.1850000000000001</v>
      </c>
      <c r="AQ505" s="12" t="str">
        <f t="shared" si="704"/>
        <v/>
      </c>
      <c r="AR505" s="12" t="str">
        <f t="shared" si="705"/>
        <v/>
      </c>
      <c r="AS505" s="12">
        <f t="shared" si="691"/>
        <v>0.10488000000000001</v>
      </c>
      <c r="AT505" s="12">
        <f t="shared" si="692"/>
        <v>0.92200000000000015</v>
      </c>
      <c r="AU505" s="12" t="str">
        <f t="shared" si="714"/>
        <v/>
      </c>
      <c r="AV505" s="17"/>
      <c r="AX505" s="4"/>
    </row>
    <row r="506" spans="1:50" x14ac:dyDescent="0.25">
      <c r="A506" s="43" t="s">
        <v>374</v>
      </c>
      <c r="B506" s="52"/>
      <c r="C506" s="44"/>
      <c r="D506" s="43"/>
      <c r="E506" s="52"/>
      <c r="F506" s="46"/>
      <c r="G506" s="76" t="s">
        <v>416</v>
      </c>
      <c r="H506" s="48" t="s">
        <v>343</v>
      </c>
      <c r="I506" s="48"/>
      <c r="J506" s="84"/>
      <c r="K506" s="85"/>
      <c r="L506" s="47"/>
      <c r="M506" s="3">
        <f>5.74-0.415</f>
        <v>5.3250000000000002</v>
      </c>
      <c r="N506" s="3">
        <f t="shared" si="724"/>
        <v>2.9000000000000004</v>
      </c>
      <c r="O506" s="22">
        <v>0.19</v>
      </c>
      <c r="P506" s="23">
        <v>1</v>
      </c>
      <c r="Q506" s="3"/>
      <c r="R506" s="3">
        <f>1*1.9</f>
        <v>1.9</v>
      </c>
      <c r="S506" s="3"/>
      <c r="T506" s="3"/>
      <c r="U506" s="3"/>
      <c r="V506" s="23"/>
      <c r="W506" s="3"/>
      <c r="X506" s="3"/>
      <c r="Y506" s="17"/>
      <c r="Z506" s="17"/>
      <c r="AA506" s="3"/>
      <c r="AB506" s="3"/>
      <c r="AC506" s="3"/>
      <c r="AD506" s="3"/>
      <c r="AE506" s="3">
        <f t="shared" si="695"/>
        <v>5.3250000000000002</v>
      </c>
      <c r="AF506" s="3">
        <f>1+0.24</f>
        <v>1.24</v>
      </c>
      <c r="AG506" s="3">
        <f>0.19*3</f>
        <v>0.57000000000000006</v>
      </c>
      <c r="AH506" s="3">
        <v>0.2</v>
      </c>
      <c r="AI506" s="3">
        <f t="shared" si="723"/>
        <v>0.19</v>
      </c>
      <c r="AJ506" s="3">
        <f t="shared" si="696"/>
        <v>1.7480000000000002</v>
      </c>
      <c r="AK506" s="12">
        <f t="shared" si="698"/>
        <v>13.542500000000002</v>
      </c>
      <c r="AL506" s="12">
        <f t="shared" si="699"/>
        <v>13.542500000000002</v>
      </c>
      <c r="AM506" s="12">
        <f t="shared" si="700"/>
        <v>2.5730750000000007</v>
      </c>
      <c r="AN506" s="12">
        <f t="shared" si="701"/>
        <v>2.5730750000000007</v>
      </c>
      <c r="AO506" s="12" t="str">
        <f t="shared" si="702"/>
        <v/>
      </c>
      <c r="AP506" s="12">
        <f t="shared" si="703"/>
        <v>5.3250000000000002</v>
      </c>
      <c r="AQ506" s="12" t="str">
        <f t="shared" si="704"/>
        <v/>
      </c>
      <c r="AR506" s="12" t="str">
        <f t="shared" si="705"/>
        <v/>
      </c>
      <c r="AS506" s="12">
        <f t="shared" si="691"/>
        <v>0.20235000000000003</v>
      </c>
      <c r="AT506" s="12">
        <f t="shared" si="692"/>
        <v>1.7480000000000002</v>
      </c>
      <c r="AU506" s="12" t="str">
        <f t="shared" si="714"/>
        <v/>
      </c>
      <c r="AV506" s="17"/>
      <c r="AX506" s="4"/>
    </row>
    <row r="507" spans="1:50" x14ac:dyDescent="0.25">
      <c r="A507" s="43" t="s">
        <v>374</v>
      </c>
      <c r="B507" s="52"/>
      <c r="C507" s="44"/>
      <c r="D507" s="43"/>
      <c r="E507" s="52"/>
      <c r="F507" s="46"/>
      <c r="G507" s="76" t="s">
        <v>417</v>
      </c>
      <c r="H507" s="48" t="s">
        <v>343</v>
      </c>
      <c r="I507" s="48"/>
      <c r="J507" s="84"/>
      <c r="K507" s="85"/>
      <c r="L507" s="47"/>
      <c r="M507" s="3">
        <v>2.42</v>
      </c>
      <c r="N507" s="3">
        <f t="shared" si="724"/>
        <v>2.9000000000000004</v>
      </c>
      <c r="O507" s="22">
        <v>0.19</v>
      </c>
      <c r="P507" s="23">
        <v>1</v>
      </c>
      <c r="Q507" s="3"/>
      <c r="R507" s="3"/>
      <c r="S507" s="3"/>
      <c r="T507" s="3"/>
      <c r="U507" s="3"/>
      <c r="V507" s="23"/>
      <c r="W507" s="3"/>
      <c r="X507" s="3"/>
      <c r="Y507" s="17"/>
      <c r="Z507" s="17"/>
      <c r="AA507" s="3"/>
      <c r="AB507" s="3"/>
      <c r="AC507" s="3"/>
      <c r="AD507" s="3"/>
      <c r="AE507" s="3">
        <f t="shared" si="695"/>
        <v>2.42</v>
      </c>
      <c r="AF507" s="3"/>
      <c r="AG507" s="3"/>
      <c r="AH507" s="3">
        <v>0.2</v>
      </c>
      <c r="AI507" s="3">
        <f t="shared" si="723"/>
        <v>0.19</v>
      </c>
      <c r="AJ507" s="3">
        <f t="shared" si="696"/>
        <v>0.96799999999999997</v>
      </c>
      <c r="AK507" s="12">
        <f t="shared" si="698"/>
        <v>7.0180000000000007</v>
      </c>
      <c r="AL507" s="12">
        <f t="shared" si="699"/>
        <v>7.0180000000000007</v>
      </c>
      <c r="AM507" s="12">
        <f t="shared" si="700"/>
        <v>1.33342</v>
      </c>
      <c r="AN507" s="12">
        <f t="shared" si="701"/>
        <v>1.33342</v>
      </c>
      <c r="AO507" s="12" t="str">
        <f t="shared" si="702"/>
        <v/>
      </c>
      <c r="AP507" s="12">
        <f t="shared" si="703"/>
        <v>2.42</v>
      </c>
      <c r="AQ507" s="12" t="str">
        <f t="shared" si="704"/>
        <v/>
      </c>
      <c r="AR507" s="12" t="str">
        <f t="shared" si="705"/>
        <v/>
      </c>
      <c r="AS507" s="12">
        <f t="shared" si="691"/>
        <v>9.196E-2</v>
      </c>
      <c r="AT507" s="12">
        <f t="shared" si="692"/>
        <v>0.96799999999999997</v>
      </c>
      <c r="AU507" s="12" t="str">
        <f t="shared" si="714"/>
        <v/>
      </c>
      <c r="AV507" s="17"/>
      <c r="AX507" s="4"/>
    </row>
    <row r="508" spans="1:50" x14ac:dyDescent="0.25">
      <c r="A508" s="43" t="s">
        <v>374</v>
      </c>
      <c r="B508" s="52"/>
      <c r="C508" s="44"/>
      <c r="D508" s="43"/>
      <c r="E508" s="52"/>
      <c r="F508" s="46"/>
      <c r="G508" s="76" t="s">
        <v>418</v>
      </c>
      <c r="H508" s="48" t="s">
        <v>343</v>
      </c>
      <c r="I508" s="48"/>
      <c r="J508" s="84"/>
      <c r="K508" s="85"/>
      <c r="L508" s="47"/>
      <c r="M508" s="3">
        <v>5.74</v>
      </c>
      <c r="N508" s="3">
        <f t="shared" si="724"/>
        <v>2.9000000000000004</v>
      </c>
      <c r="O508" s="22">
        <v>0.19</v>
      </c>
      <c r="P508" s="23">
        <v>1</v>
      </c>
      <c r="Q508" s="3"/>
      <c r="R508" s="3"/>
      <c r="S508" s="3"/>
      <c r="T508" s="3"/>
      <c r="U508" s="3"/>
      <c r="V508" s="23"/>
      <c r="W508" s="3"/>
      <c r="X508" s="3"/>
      <c r="Y508" s="17"/>
      <c r="Z508" s="17"/>
      <c r="AA508" s="3"/>
      <c r="AB508" s="3"/>
      <c r="AC508" s="3"/>
      <c r="AD508" s="3"/>
      <c r="AE508" s="3">
        <f t="shared" si="695"/>
        <v>5.74</v>
      </c>
      <c r="AF508" s="3">
        <f>0.48+0.24</f>
        <v>0.72</v>
      </c>
      <c r="AG508" s="3">
        <f>0.19*3</f>
        <v>0.57000000000000006</v>
      </c>
      <c r="AH508" s="3">
        <v>0.2</v>
      </c>
      <c r="AI508" s="3">
        <f t="shared" si="723"/>
        <v>0.19</v>
      </c>
      <c r="AJ508" s="3">
        <f t="shared" si="696"/>
        <v>2.1220000000000003</v>
      </c>
      <c r="AK508" s="12">
        <f t="shared" si="698"/>
        <v>16.646000000000004</v>
      </c>
      <c r="AL508" s="12">
        <f t="shared" si="699"/>
        <v>16.646000000000004</v>
      </c>
      <c r="AM508" s="12">
        <f t="shared" si="700"/>
        <v>3.1627400000000008</v>
      </c>
      <c r="AN508" s="12">
        <f t="shared" si="701"/>
        <v>3.1627400000000008</v>
      </c>
      <c r="AO508" s="12" t="str">
        <f t="shared" si="702"/>
        <v/>
      </c>
      <c r="AP508" s="12">
        <f t="shared" si="703"/>
        <v>5.74</v>
      </c>
      <c r="AQ508" s="12" t="str">
        <f t="shared" si="704"/>
        <v/>
      </c>
      <c r="AR508" s="12" t="str">
        <f t="shared" si="705"/>
        <v/>
      </c>
      <c r="AS508" s="12">
        <f t="shared" si="691"/>
        <v>0.21812000000000004</v>
      </c>
      <c r="AT508" s="12">
        <f t="shared" si="692"/>
        <v>2.1220000000000003</v>
      </c>
      <c r="AU508" s="12" t="str">
        <f t="shared" si="714"/>
        <v/>
      </c>
      <c r="AV508" s="17"/>
      <c r="AX508" s="4"/>
    </row>
    <row r="509" spans="1:50" x14ac:dyDescent="0.25">
      <c r="A509" s="43" t="s">
        <v>374</v>
      </c>
      <c r="B509" s="52"/>
      <c r="C509" s="44"/>
      <c r="D509" s="43"/>
      <c r="E509" s="52"/>
      <c r="F509" s="46"/>
      <c r="G509" s="76" t="s">
        <v>419</v>
      </c>
      <c r="H509" s="48" t="s">
        <v>341</v>
      </c>
      <c r="I509" s="48"/>
      <c r="J509" s="84"/>
      <c r="K509" s="85"/>
      <c r="L509" s="47"/>
      <c r="M509" s="3">
        <v>4.4450000000000003</v>
      </c>
      <c r="N509" s="3">
        <f t="shared" si="724"/>
        <v>2.9000000000000004</v>
      </c>
      <c r="O509" s="22">
        <v>0.24</v>
      </c>
      <c r="P509" s="23">
        <v>1</v>
      </c>
      <c r="Q509" s="3"/>
      <c r="R509" s="3"/>
      <c r="S509" s="3"/>
      <c r="T509" s="3"/>
      <c r="U509" s="3"/>
      <c r="V509" s="23"/>
      <c r="W509" s="3"/>
      <c r="X509" s="3"/>
      <c r="Y509" s="17"/>
      <c r="Z509" s="17"/>
      <c r="AA509" s="3"/>
      <c r="AB509" s="3"/>
      <c r="AC509" s="3"/>
      <c r="AD509" s="3"/>
      <c r="AE509" s="3">
        <f t="shared" si="695"/>
        <v>4.4450000000000003</v>
      </c>
      <c r="AF509" s="3"/>
      <c r="AG509" s="3">
        <f>0.24*2</f>
        <v>0.48</v>
      </c>
      <c r="AH509" s="3">
        <v>0.2</v>
      </c>
      <c r="AI509" s="3">
        <f t="shared" si="723"/>
        <v>0.24</v>
      </c>
      <c r="AJ509" s="3">
        <f t="shared" si="696"/>
        <v>1.8740000000000003</v>
      </c>
      <c r="AK509" s="12">
        <f t="shared" si="698"/>
        <v>12.890500000000003</v>
      </c>
      <c r="AL509" s="12">
        <f t="shared" si="699"/>
        <v>12.890500000000003</v>
      </c>
      <c r="AM509" s="12">
        <f t="shared" si="700"/>
        <v>3.0937200000000007</v>
      </c>
      <c r="AN509" s="12">
        <f t="shared" si="701"/>
        <v>3.0937200000000007</v>
      </c>
      <c r="AO509" s="12" t="str">
        <f t="shared" si="702"/>
        <v/>
      </c>
      <c r="AP509" s="12">
        <f t="shared" si="703"/>
        <v>4.4450000000000003</v>
      </c>
      <c r="AQ509" s="12" t="str">
        <f t="shared" si="704"/>
        <v/>
      </c>
      <c r="AR509" s="12" t="str">
        <f t="shared" si="705"/>
        <v/>
      </c>
      <c r="AS509" s="12">
        <f t="shared" si="691"/>
        <v>0.21336000000000002</v>
      </c>
      <c r="AT509" s="12">
        <f t="shared" si="692"/>
        <v>1.8740000000000003</v>
      </c>
      <c r="AU509" s="12" t="str">
        <f t="shared" si="714"/>
        <v/>
      </c>
      <c r="AV509" s="17"/>
      <c r="AX509" s="4"/>
    </row>
    <row r="510" spans="1:50" x14ac:dyDescent="0.25">
      <c r="A510" s="43" t="s">
        <v>374</v>
      </c>
      <c r="B510" s="52"/>
      <c r="C510" s="44"/>
      <c r="D510" s="43"/>
      <c r="E510" s="52"/>
      <c r="F510" s="46"/>
      <c r="G510" s="76" t="s">
        <v>420</v>
      </c>
      <c r="H510" s="48" t="s">
        <v>341</v>
      </c>
      <c r="I510" s="48"/>
      <c r="J510" s="84"/>
      <c r="K510" s="85"/>
      <c r="L510" s="47"/>
      <c r="M510" s="3">
        <v>4.4450000000000003</v>
      </c>
      <c r="N510" s="3">
        <f t="shared" si="724"/>
        <v>2.9000000000000004</v>
      </c>
      <c r="O510" s="22">
        <v>0.24</v>
      </c>
      <c r="P510" s="23">
        <v>1</v>
      </c>
      <c r="Q510" s="3"/>
      <c r="R510" s="3"/>
      <c r="S510" s="3"/>
      <c r="T510" s="3"/>
      <c r="U510" s="3"/>
      <c r="V510" s="23"/>
      <c r="W510" s="3"/>
      <c r="X510" s="3"/>
      <c r="Y510" s="17"/>
      <c r="Z510" s="17"/>
      <c r="AA510" s="3"/>
      <c r="AB510" s="3"/>
      <c r="AC510" s="3"/>
      <c r="AD510" s="3"/>
      <c r="AE510" s="3">
        <f t="shared" si="695"/>
        <v>4.4450000000000003</v>
      </c>
      <c r="AF510" s="3"/>
      <c r="AG510" s="3">
        <f t="shared" ref="AG510:AG512" si="725">0.24*2</f>
        <v>0.48</v>
      </c>
      <c r="AH510" s="3">
        <v>0.2</v>
      </c>
      <c r="AI510" s="3">
        <f t="shared" si="723"/>
        <v>0.24</v>
      </c>
      <c r="AJ510" s="3">
        <f t="shared" si="696"/>
        <v>1.8740000000000003</v>
      </c>
      <c r="AK510" s="12">
        <f t="shared" si="698"/>
        <v>12.890500000000003</v>
      </c>
      <c r="AL510" s="12">
        <f t="shared" si="699"/>
        <v>12.890500000000003</v>
      </c>
      <c r="AM510" s="12">
        <f t="shared" si="700"/>
        <v>3.0937200000000007</v>
      </c>
      <c r="AN510" s="12">
        <f t="shared" si="701"/>
        <v>3.0937200000000007</v>
      </c>
      <c r="AO510" s="12" t="str">
        <f t="shared" si="702"/>
        <v/>
      </c>
      <c r="AP510" s="12">
        <f t="shared" si="703"/>
        <v>4.4450000000000003</v>
      </c>
      <c r="AQ510" s="12" t="str">
        <f t="shared" si="704"/>
        <v/>
      </c>
      <c r="AR510" s="12" t="str">
        <f t="shared" si="705"/>
        <v/>
      </c>
      <c r="AS510" s="12">
        <f t="shared" si="691"/>
        <v>0.21336000000000002</v>
      </c>
      <c r="AT510" s="12">
        <f t="shared" si="692"/>
        <v>1.8740000000000003</v>
      </c>
      <c r="AU510" s="12" t="str">
        <f t="shared" si="714"/>
        <v/>
      </c>
      <c r="AV510" s="17"/>
      <c r="AX510" s="4"/>
    </row>
    <row r="511" spans="1:50" x14ac:dyDescent="0.25">
      <c r="A511" s="43" t="s">
        <v>374</v>
      </c>
      <c r="B511" s="52"/>
      <c r="C511" s="44"/>
      <c r="D511" s="43"/>
      <c r="E511" s="52"/>
      <c r="F511" s="46"/>
      <c r="G511" s="76" t="s">
        <v>421</v>
      </c>
      <c r="H511" s="48" t="s">
        <v>341</v>
      </c>
      <c r="I511" s="48"/>
      <c r="J511" s="84"/>
      <c r="K511" s="85"/>
      <c r="L511" s="47"/>
      <c r="M511" s="3">
        <v>2.2799999999999998</v>
      </c>
      <c r="N511" s="3">
        <f t="shared" si="724"/>
        <v>2.9000000000000004</v>
      </c>
      <c r="O511" s="22">
        <v>0.24</v>
      </c>
      <c r="P511" s="23">
        <v>1</v>
      </c>
      <c r="Q511" s="3"/>
      <c r="R511" s="3"/>
      <c r="S511" s="3"/>
      <c r="T511" s="3"/>
      <c r="U511" s="3"/>
      <c r="V511" s="23"/>
      <c r="W511" s="3"/>
      <c r="X511" s="3"/>
      <c r="Y511" s="17"/>
      <c r="Z511" s="17"/>
      <c r="AA511" s="3"/>
      <c r="AB511" s="3"/>
      <c r="AC511" s="3"/>
      <c r="AD511" s="3"/>
      <c r="AE511" s="3">
        <f t="shared" si="695"/>
        <v>2.2799999999999998</v>
      </c>
      <c r="AF511" s="3"/>
      <c r="AG511" s="3">
        <f t="shared" si="725"/>
        <v>0.48</v>
      </c>
      <c r="AH511" s="3">
        <v>0.2</v>
      </c>
      <c r="AI511" s="3">
        <f t="shared" si="723"/>
        <v>0.24</v>
      </c>
      <c r="AJ511" s="3">
        <f t="shared" si="696"/>
        <v>1.0079999999999998</v>
      </c>
      <c r="AK511" s="12">
        <f t="shared" si="698"/>
        <v>6.6120000000000001</v>
      </c>
      <c r="AL511" s="12">
        <f t="shared" si="699"/>
        <v>6.6120000000000001</v>
      </c>
      <c r="AM511" s="12">
        <f t="shared" si="700"/>
        <v>1.5868800000000001</v>
      </c>
      <c r="AN511" s="12">
        <f t="shared" si="701"/>
        <v>1.5868800000000001</v>
      </c>
      <c r="AO511" s="12" t="str">
        <f t="shared" si="702"/>
        <v/>
      </c>
      <c r="AP511" s="12">
        <f t="shared" si="703"/>
        <v>2.2799999999999998</v>
      </c>
      <c r="AQ511" s="12" t="str">
        <f t="shared" si="704"/>
        <v/>
      </c>
      <c r="AR511" s="12" t="str">
        <f t="shared" si="705"/>
        <v/>
      </c>
      <c r="AS511" s="12">
        <f t="shared" si="691"/>
        <v>0.10943999999999998</v>
      </c>
      <c r="AT511" s="12">
        <f t="shared" si="692"/>
        <v>1.0079999999999998</v>
      </c>
      <c r="AU511" s="12" t="str">
        <f t="shared" si="714"/>
        <v/>
      </c>
      <c r="AV511" s="17"/>
      <c r="AX511" s="4"/>
    </row>
    <row r="512" spans="1:50" x14ac:dyDescent="0.25">
      <c r="A512" s="43" t="s">
        <v>374</v>
      </c>
      <c r="B512" s="52"/>
      <c r="C512" s="44"/>
      <c r="D512" s="43"/>
      <c r="E512" s="52"/>
      <c r="F512" s="46"/>
      <c r="G512" s="76" t="s">
        <v>422</v>
      </c>
      <c r="H512" s="48" t="s">
        <v>341</v>
      </c>
      <c r="I512" s="48"/>
      <c r="J512" s="84"/>
      <c r="K512" s="85"/>
      <c r="L512" s="47"/>
      <c r="M512" s="3">
        <v>4.4450000000000003</v>
      </c>
      <c r="N512" s="3">
        <f t="shared" si="724"/>
        <v>2.9000000000000004</v>
      </c>
      <c r="O512" s="22">
        <v>0.24</v>
      </c>
      <c r="P512" s="23">
        <v>1</v>
      </c>
      <c r="Q512" s="3"/>
      <c r="R512" s="3"/>
      <c r="S512" s="3"/>
      <c r="T512" s="3"/>
      <c r="U512" s="3"/>
      <c r="V512" s="23"/>
      <c r="W512" s="3"/>
      <c r="X512" s="3"/>
      <c r="Y512" s="17"/>
      <c r="Z512" s="17"/>
      <c r="AA512" s="3"/>
      <c r="AB512" s="3"/>
      <c r="AC512" s="3"/>
      <c r="AD512" s="3"/>
      <c r="AE512" s="3">
        <f t="shared" si="695"/>
        <v>4.4450000000000003</v>
      </c>
      <c r="AF512" s="3"/>
      <c r="AG512" s="3">
        <f t="shared" si="725"/>
        <v>0.48</v>
      </c>
      <c r="AH512" s="3">
        <v>0.2</v>
      </c>
      <c r="AI512" s="3">
        <f t="shared" si="723"/>
        <v>0.24</v>
      </c>
      <c r="AJ512" s="3">
        <f t="shared" si="696"/>
        <v>1.8740000000000003</v>
      </c>
      <c r="AK512" s="12">
        <f t="shared" si="698"/>
        <v>12.890500000000003</v>
      </c>
      <c r="AL512" s="12">
        <f t="shared" si="699"/>
        <v>12.890500000000003</v>
      </c>
      <c r="AM512" s="12">
        <f t="shared" si="700"/>
        <v>3.0937200000000007</v>
      </c>
      <c r="AN512" s="12">
        <f t="shared" si="701"/>
        <v>3.0937200000000007</v>
      </c>
      <c r="AO512" s="12" t="str">
        <f t="shared" si="702"/>
        <v/>
      </c>
      <c r="AP512" s="12">
        <f t="shared" si="703"/>
        <v>4.4450000000000003</v>
      </c>
      <c r="AQ512" s="12" t="str">
        <f t="shared" si="704"/>
        <v/>
      </c>
      <c r="AR512" s="12" t="str">
        <f t="shared" si="705"/>
        <v/>
      </c>
      <c r="AS512" s="12">
        <f t="shared" si="691"/>
        <v>0.21336000000000002</v>
      </c>
      <c r="AT512" s="12">
        <f t="shared" si="692"/>
        <v>1.8740000000000003</v>
      </c>
      <c r="AU512" s="12" t="str">
        <f t="shared" si="714"/>
        <v/>
      </c>
      <c r="AV512" s="17"/>
      <c r="AX512" s="4"/>
    </row>
    <row r="513" spans="1:50" x14ac:dyDescent="0.25">
      <c r="A513" s="43" t="s">
        <v>374</v>
      </c>
      <c r="B513" s="52"/>
      <c r="C513" s="44"/>
      <c r="D513" s="43"/>
      <c r="E513" s="52"/>
      <c r="F513" s="46"/>
      <c r="G513" s="76" t="s">
        <v>423</v>
      </c>
      <c r="H513" s="48" t="s">
        <v>341</v>
      </c>
      <c r="I513" s="48"/>
      <c r="J513" s="84"/>
      <c r="K513" s="85"/>
      <c r="L513" s="47"/>
      <c r="M513" s="3">
        <v>5.3</v>
      </c>
      <c r="N513" s="3">
        <f t="shared" si="724"/>
        <v>2.9000000000000004</v>
      </c>
      <c r="O513" s="22">
        <v>0.24</v>
      </c>
      <c r="P513" s="23">
        <v>1</v>
      </c>
      <c r="Q513" s="3"/>
      <c r="R513" s="3"/>
      <c r="S513" s="3"/>
      <c r="T513" s="3"/>
      <c r="U513" s="3"/>
      <c r="V513" s="23"/>
      <c r="W513" s="3"/>
      <c r="X513" s="3"/>
      <c r="Y513" s="17"/>
      <c r="Z513" s="17"/>
      <c r="AA513" s="3"/>
      <c r="AB513" s="3"/>
      <c r="AC513" s="3"/>
      <c r="AD513" s="3"/>
      <c r="AE513" s="3">
        <f t="shared" si="695"/>
        <v>5.3</v>
      </c>
      <c r="AF513" s="3"/>
      <c r="AG513" s="3">
        <v>0.24</v>
      </c>
      <c r="AH513" s="3">
        <v>0.2</v>
      </c>
      <c r="AI513" s="3">
        <f t="shared" si="723"/>
        <v>0.24</v>
      </c>
      <c r="AJ513" s="3">
        <f t="shared" si="696"/>
        <v>2.1680000000000001</v>
      </c>
      <c r="AK513" s="12">
        <f t="shared" si="698"/>
        <v>15.370000000000001</v>
      </c>
      <c r="AL513" s="12">
        <f t="shared" si="699"/>
        <v>15.370000000000001</v>
      </c>
      <c r="AM513" s="12">
        <f t="shared" si="700"/>
        <v>3.6888000000000001</v>
      </c>
      <c r="AN513" s="12">
        <f t="shared" si="701"/>
        <v>3.6888000000000001</v>
      </c>
      <c r="AO513" s="12" t="str">
        <f t="shared" si="702"/>
        <v/>
      </c>
      <c r="AP513" s="12">
        <f t="shared" si="703"/>
        <v>5.3</v>
      </c>
      <c r="AQ513" s="12" t="str">
        <f t="shared" si="704"/>
        <v/>
      </c>
      <c r="AR513" s="12" t="str">
        <f t="shared" si="705"/>
        <v/>
      </c>
      <c r="AS513" s="12">
        <f t="shared" si="691"/>
        <v>0.25440000000000002</v>
      </c>
      <c r="AT513" s="12">
        <f t="shared" si="692"/>
        <v>2.1680000000000001</v>
      </c>
      <c r="AU513" s="12" t="str">
        <f t="shared" si="714"/>
        <v/>
      </c>
      <c r="AV513" s="17"/>
      <c r="AX513" s="4"/>
    </row>
    <row r="514" spans="1:50" x14ac:dyDescent="0.25">
      <c r="A514" s="43" t="s">
        <v>374</v>
      </c>
      <c r="B514" s="52"/>
      <c r="C514" s="44"/>
      <c r="D514" s="43"/>
      <c r="E514" s="52"/>
      <c r="F514" s="46"/>
      <c r="G514" s="76" t="s">
        <v>424</v>
      </c>
      <c r="H514" s="48" t="s">
        <v>341</v>
      </c>
      <c r="I514" s="48"/>
      <c r="J514" s="84"/>
      <c r="K514" s="85"/>
      <c r="L514" s="47"/>
      <c r="M514" s="3">
        <v>6.51</v>
      </c>
      <c r="N514" s="3">
        <f>9.3-6.65</f>
        <v>2.6500000000000004</v>
      </c>
      <c r="O514" s="22">
        <v>0.24</v>
      </c>
      <c r="P514" s="23">
        <v>1</v>
      </c>
      <c r="Q514" s="3"/>
      <c r="R514" s="3">
        <f>0.97*2.65</f>
        <v>2.5705</v>
      </c>
      <c r="S514" s="3"/>
      <c r="T514" s="3"/>
      <c r="U514" s="3"/>
      <c r="V514" s="23"/>
      <c r="W514" s="3"/>
      <c r="X514" s="3"/>
      <c r="Y514" s="17"/>
      <c r="Z514" s="17"/>
      <c r="AA514" s="3"/>
      <c r="AB514" s="3"/>
      <c r="AC514" s="3"/>
      <c r="AD514" s="3"/>
      <c r="AE514" s="3">
        <f t="shared" si="695"/>
        <v>6.51</v>
      </c>
      <c r="AF514" s="3"/>
      <c r="AG514" s="3"/>
      <c r="AH514" s="3">
        <v>0.2</v>
      </c>
      <c r="AI514" s="3">
        <f t="shared" si="723"/>
        <v>0.24</v>
      </c>
      <c r="AJ514" s="3">
        <f t="shared" si="696"/>
        <v>2.6040000000000001</v>
      </c>
      <c r="AK514" s="12">
        <f t="shared" si="698"/>
        <v>14.681000000000001</v>
      </c>
      <c r="AL514" s="12">
        <f t="shared" si="699"/>
        <v>14.681000000000001</v>
      </c>
      <c r="AM514" s="12">
        <f t="shared" si="700"/>
        <v>3.5234399999999999</v>
      </c>
      <c r="AN514" s="12">
        <f t="shared" si="701"/>
        <v>3.5234399999999999</v>
      </c>
      <c r="AO514" s="12" t="str">
        <f t="shared" si="702"/>
        <v/>
      </c>
      <c r="AP514" s="12">
        <f t="shared" si="703"/>
        <v>6.51</v>
      </c>
      <c r="AQ514" s="12" t="str">
        <f t="shared" si="704"/>
        <v/>
      </c>
      <c r="AR514" s="12" t="str">
        <f t="shared" si="705"/>
        <v/>
      </c>
      <c r="AS514" s="12">
        <f t="shared" si="691"/>
        <v>0.31247999999999998</v>
      </c>
      <c r="AT514" s="12">
        <f t="shared" si="692"/>
        <v>2.6040000000000001</v>
      </c>
      <c r="AU514" s="12" t="str">
        <f t="shared" si="714"/>
        <v/>
      </c>
      <c r="AV514" s="17"/>
      <c r="AX514" s="4"/>
    </row>
    <row r="515" spans="1:50" x14ac:dyDescent="0.25">
      <c r="A515" s="43" t="s">
        <v>374</v>
      </c>
      <c r="B515" s="52"/>
      <c r="C515" s="44"/>
      <c r="D515" s="43"/>
      <c r="E515" s="52"/>
      <c r="F515" s="46"/>
      <c r="G515" s="76" t="s">
        <v>425</v>
      </c>
      <c r="H515" s="48" t="s">
        <v>341</v>
      </c>
      <c r="I515" s="48"/>
      <c r="J515" s="84"/>
      <c r="K515" s="85"/>
      <c r="L515" s="47"/>
      <c r="M515" s="3">
        <v>4.8099999999999996</v>
      </c>
      <c r="N515" s="3">
        <f>9.3-6.65</f>
        <v>2.6500000000000004</v>
      </c>
      <c r="O515" s="22">
        <v>0.24</v>
      </c>
      <c r="P515" s="23">
        <v>1</v>
      </c>
      <c r="Q515" s="3"/>
      <c r="R515" s="3"/>
      <c r="S515" s="3"/>
      <c r="T515" s="3"/>
      <c r="U515" s="3"/>
      <c r="V515" s="23"/>
      <c r="W515" s="3"/>
      <c r="X515" s="3"/>
      <c r="Y515" s="17"/>
      <c r="Z515" s="17"/>
      <c r="AA515" s="3"/>
      <c r="AB515" s="3"/>
      <c r="AC515" s="3"/>
      <c r="AD515" s="3"/>
      <c r="AE515" s="3">
        <f t="shared" si="695"/>
        <v>4.8099999999999996</v>
      </c>
      <c r="AF515" s="3"/>
      <c r="AG515" s="3"/>
      <c r="AH515" s="3">
        <v>0.2</v>
      </c>
      <c r="AI515" s="3">
        <f t="shared" si="723"/>
        <v>0.24</v>
      </c>
      <c r="AJ515" s="3">
        <f t="shared" si="696"/>
        <v>1.9239999999999999</v>
      </c>
      <c r="AK515" s="12">
        <f t="shared" si="698"/>
        <v>12.746500000000001</v>
      </c>
      <c r="AL515" s="12">
        <f t="shared" si="699"/>
        <v>12.746500000000001</v>
      </c>
      <c r="AM515" s="12">
        <f t="shared" si="700"/>
        <v>3.0591600000000003</v>
      </c>
      <c r="AN515" s="12">
        <f t="shared" si="701"/>
        <v>3.0591600000000003</v>
      </c>
      <c r="AO515" s="12" t="str">
        <f t="shared" si="702"/>
        <v/>
      </c>
      <c r="AP515" s="12">
        <f t="shared" si="703"/>
        <v>4.8099999999999996</v>
      </c>
      <c r="AQ515" s="12" t="str">
        <f t="shared" si="704"/>
        <v/>
      </c>
      <c r="AR515" s="12" t="str">
        <f t="shared" si="705"/>
        <v/>
      </c>
      <c r="AS515" s="12">
        <f t="shared" si="691"/>
        <v>0.23087999999999997</v>
      </c>
      <c r="AT515" s="12">
        <f t="shared" si="692"/>
        <v>1.9239999999999999</v>
      </c>
      <c r="AU515" s="12" t="str">
        <f t="shared" si="714"/>
        <v/>
      </c>
      <c r="AV515" s="17"/>
      <c r="AX515" s="4"/>
    </row>
    <row r="516" spans="1:50" x14ac:dyDescent="0.25">
      <c r="A516" s="43" t="s">
        <v>374</v>
      </c>
      <c r="B516" s="52"/>
      <c r="C516" s="44"/>
      <c r="D516" s="43"/>
      <c r="E516" s="52"/>
      <c r="F516" s="46"/>
      <c r="G516" s="76" t="s">
        <v>426</v>
      </c>
      <c r="H516" s="48" t="s">
        <v>341</v>
      </c>
      <c r="I516" s="48"/>
      <c r="J516" s="84"/>
      <c r="K516" s="85"/>
      <c r="L516" s="47"/>
      <c r="M516" s="3">
        <f>0.315+1.07+2.165</f>
        <v>3.55</v>
      </c>
      <c r="N516" s="3">
        <f>9.3-6.65</f>
        <v>2.6500000000000004</v>
      </c>
      <c r="O516" s="22">
        <v>0.24</v>
      </c>
      <c r="P516" s="23">
        <v>1</v>
      </c>
      <c r="Q516" s="3"/>
      <c r="R516" s="3">
        <f>1.07*2.65</f>
        <v>2.8355000000000001</v>
      </c>
      <c r="S516" s="3"/>
      <c r="T516" s="3"/>
      <c r="U516" s="3"/>
      <c r="V516" s="23"/>
      <c r="W516" s="3"/>
      <c r="X516" s="3"/>
      <c r="Y516" s="17"/>
      <c r="Z516" s="17"/>
      <c r="AA516" s="3"/>
      <c r="AB516" s="3"/>
      <c r="AC516" s="3"/>
      <c r="AD516" s="3"/>
      <c r="AE516" s="3">
        <f t="shared" si="695"/>
        <v>3.55</v>
      </c>
      <c r="AF516" s="3"/>
      <c r="AG516" s="3"/>
      <c r="AH516" s="3">
        <v>0.2</v>
      </c>
      <c r="AI516" s="3">
        <f t="shared" si="723"/>
        <v>0.24</v>
      </c>
      <c r="AJ516" s="3">
        <f t="shared" si="696"/>
        <v>1.42</v>
      </c>
      <c r="AK516" s="12">
        <f t="shared" si="698"/>
        <v>6.572000000000001</v>
      </c>
      <c r="AL516" s="12">
        <f t="shared" si="699"/>
        <v>6.572000000000001</v>
      </c>
      <c r="AM516" s="12">
        <f t="shared" si="700"/>
        <v>1.5772800000000002</v>
      </c>
      <c r="AN516" s="12">
        <f t="shared" si="701"/>
        <v>1.5772800000000002</v>
      </c>
      <c r="AO516" s="12" t="str">
        <f t="shared" si="702"/>
        <v/>
      </c>
      <c r="AP516" s="12">
        <f t="shared" si="703"/>
        <v>3.55</v>
      </c>
      <c r="AQ516" s="12" t="str">
        <f t="shared" si="704"/>
        <v/>
      </c>
      <c r="AR516" s="12" t="str">
        <f t="shared" si="705"/>
        <v/>
      </c>
      <c r="AS516" s="12">
        <f t="shared" si="691"/>
        <v>0.1704</v>
      </c>
      <c r="AT516" s="12">
        <f t="shared" si="692"/>
        <v>1.42</v>
      </c>
      <c r="AU516" s="12" t="str">
        <f t="shared" si="714"/>
        <v/>
      </c>
      <c r="AV516" s="17"/>
    </row>
    <row r="517" spans="1:50" x14ac:dyDescent="0.25">
      <c r="A517" s="43" t="s">
        <v>374</v>
      </c>
      <c r="B517" s="52"/>
      <c r="C517" s="44"/>
      <c r="D517" s="43"/>
      <c r="E517" s="52"/>
      <c r="F517" s="46"/>
      <c r="G517" s="76" t="s">
        <v>427</v>
      </c>
      <c r="H517" s="48" t="s">
        <v>341</v>
      </c>
      <c r="I517" s="48"/>
      <c r="J517" s="84"/>
      <c r="K517" s="85"/>
      <c r="L517" s="47"/>
      <c r="M517" s="3">
        <v>4.4450000000000003</v>
      </c>
      <c r="N517" s="3">
        <f t="shared" si="724"/>
        <v>2.9000000000000004</v>
      </c>
      <c r="O517" s="22">
        <v>0.24</v>
      </c>
      <c r="P517" s="23">
        <v>1</v>
      </c>
      <c r="Q517" s="3"/>
      <c r="R517" s="3"/>
      <c r="S517" s="3"/>
      <c r="T517" s="3"/>
      <c r="U517" s="3"/>
      <c r="V517" s="23"/>
      <c r="W517" s="3"/>
      <c r="X517" s="3"/>
      <c r="Y517" s="17"/>
      <c r="Z517" s="17"/>
      <c r="AA517" s="3"/>
      <c r="AB517" s="3"/>
      <c r="AC517" s="3"/>
      <c r="AD517" s="3"/>
      <c r="AE517" s="3">
        <f t="shared" si="695"/>
        <v>4.4450000000000003</v>
      </c>
      <c r="AF517" s="3"/>
      <c r="AG517" s="3">
        <f>0.24*2</f>
        <v>0.48</v>
      </c>
      <c r="AH517" s="3">
        <v>0.2</v>
      </c>
      <c r="AI517" s="3">
        <f t="shared" si="723"/>
        <v>0.24</v>
      </c>
      <c r="AJ517" s="3">
        <f t="shared" si="696"/>
        <v>1.8740000000000003</v>
      </c>
      <c r="AK517" s="12">
        <f t="shared" si="698"/>
        <v>12.890500000000003</v>
      </c>
      <c r="AL517" s="12">
        <f t="shared" si="699"/>
        <v>12.890500000000003</v>
      </c>
      <c r="AM517" s="12">
        <f t="shared" si="700"/>
        <v>3.0937200000000007</v>
      </c>
      <c r="AN517" s="12">
        <f t="shared" si="701"/>
        <v>3.0937200000000007</v>
      </c>
      <c r="AO517" s="12" t="str">
        <f t="shared" si="702"/>
        <v/>
      </c>
      <c r="AP517" s="12">
        <f t="shared" si="703"/>
        <v>4.4450000000000003</v>
      </c>
      <c r="AQ517" s="12" t="str">
        <f t="shared" si="704"/>
        <v/>
      </c>
      <c r="AR517" s="12" t="str">
        <f t="shared" si="705"/>
        <v/>
      </c>
      <c r="AS517" s="12">
        <f t="shared" si="691"/>
        <v>0.21336000000000002</v>
      </c>
      <c r="AT517" s="12">
        <f t="shared" si="692"/>
        <v>1.8740000000000003</v>
      </c>
      <c r="AU517" s="12" t="str">
        <f t="shared" si="714"/>
        <v/>
      </c>
      <c r="AV517" s="17"/>
    </row>
    <row r="518" spans="1:50" x14ac:dyDescent="0.25">
      <c r="A518" s="43" t="s">
        <v>374</v>
      </c>
      <c r="B518" s="52"/>
      <c r="C518" s="44"/>
      <c r="D518" s="43"/>
      <c r="E518" s="52"/>
      <c r="F518" s="46"/>
      <c r="G518" s="76" t="s">
        <v>428</v>
      </c>
      <c r="H518" s="48" t="s">
        <v>341</v>
      </c>
      <c r="I518" s="48"/>
      <c r="J518" s="84"/>
      <c r="K518" s="85"/>
      <c r="L518" s="47"/>
      <c r="M518" s="3">
        <v>2.1850000000000001</v>
      </c>
      <c r="N518" s="3">
        <f t="shared" si="724"/>
        <v>2.9000000000000004</v>
      </c>
      <c r="O518" s="22">
        <v>0.24</v>
      </c>
      <c r="P518" s="23">
        <v>1</v>
      </c>
      <c r="Q518" s="3"/>
      <c r="R518" s="3"/>
      <c r="S518" s="3"/>
      <c r="T518" s="3"/>
      <c r="U518" s="3"/>
      <c r="V518" s="23"/>
      <c r="W518" s="3"/>
      <c r="X518" s="3"/>
      <c r="Y518" s="17"/>
      <c r="Z518" s="17"/>
      <c r="AA518" s="3"/>
      <c r="AB518" s="3"/>
      <c r="AC518" s="3"/>
      <c r="AD518" s="3"/>
      <c r="AE518" s="3">
        <f t="shared" si="695"/>
        <v>2.1850000000000001</v>
      </c>
      <c r="AF518" s="3"/>
      <c r="AG518" s="3">
        <v>0.24</v>
      </c>
      <c r="AH518" s="3">
        <v>0.2</v>
      </c>
      <c r="AI518" s="3">
        <f t="shared" si="723"/>
        <v>0.24</v>
      </c>
      <c r="AJ518" s="3">
        <f t="shared" si="696"/>
        <v>0.92200000000000015</v>
      </c>
      <c r="AK518" s="12">
        <f t="shared" si="698"/>
        <v>6.3365000000000009</v>
      </c>
      <c r="AL518" s="12">
        <f t="shared" si="699"/>
        <v>6.3365000000000009</v>
      </c>
      <c r="AM518" s="12">
        <f t="shared" si="700"/>
        <v>1.5207600000000001</v>
      </c>
      <c r="AN518" s="12">
        <f t="shared" si="701"/>
        <v>1.5207600000000001</v>
      </c>
      <c r="AO518" s="12" t="str">
        <f t="shared" si="702"/>
        <v/>
      </c>
      <c r="AP518" s="12">
        <f t="shared" si="703"/>
        <v>2.1850000000000001</v>
      </c>
      <c r="AQ518" s="12" t="str">
        <f t="shared" si="704"/>
        <v/>
      </c>
      <c r="AR518" s="12" t="str">
        <f t="shared" si="705"/>
        <v/>
      </c>
      <c r="AS518" s="12">
        <f t="shared" si="691"/>
        <v>0.10488000000000001</v>
      </c>
      <c r="AT518" s="12">
        <f t="shared" si="692"/>
        <v>0.92200000000000015</v>
      </c>
      <c r="AU518" s="12" t="str">
        <f t="shared" si="714"/>
        <v/>
      </c>
      <c r="AV518" s="17"/>
    </row>
    <row r="519" spans="1:50" x14ac:dyDescent="0.25">
      <c r="A519" s="43" t="s">
        <v>374</v>
      </c>
      <c r="B519" s="52"/>
      <c r="C519" s="44"/>
      <c r="D519" s="43"/>
      <c r="E519" s="52"/>
      <c r="F519" s="46"/>
      <c r="G519" s="76" t="s">
        <v>429</v>
      </c>
      <c r="H519" s="48" t="s">
        <v>341</v>
      </c>
      <c r="I519" s="48"/>
      <c r="J519" s="84"/>
      <c r="K519" s="85"/>
      <c r="L519" s="47"/>
      <c r="M519" s="3">
        <v>2.1850000000000001</v>
      </c>
      <c r="N519" s="3">
        <f>9.3-6.65</f>
        <v>2.6500000000000004</v>
      </c>
      <c r="O519" s="22">
        <v>0.24</v>
      </c>
      <c r="P519" s="23">
        <v>1</v>
      </c>
      <c r="Q519" s="3"/>
      <c r="R519" s="3"/>
      <c r="S519" s="3"/>
      <c r="T519" s="3"/>
      <c r="U519" s="3"/>
      <c r="V519" s="23"/>
      <c r="W519" s="3"/>
      <c r="X519" s="3"/>
      <c r="Y519" s="17"/>
      <c r="Z519" s="17"/>
      <c r="AA519" s="3"/>
      <c r="AB519" s="3"/>
      <c r="AC519" s="3"/>
      <c r="AD519" s="3"/>
      <c r="AE519" s="3">
        <f t="shared" si="695"/>
        <v>2.1850000000000001</v>
      </c>
      <c r="AF519" s="3"/>
      <c r="AG519" s="3">
        <v>0.24</v>
      </c>
      <c r="AH519" s="3">
        <v>0.2</v>
      </c>
      <c r="AI519" s="3">
        <f t="shared" si="723"/>
        <v>0.24</v>
      </c>
      <c r="AJ519" s="3">
        <f t="shared" si="696"/>
        <v>0.92200000000000015</v>
      </c>
      <c r="AK519" s="12">
        <f t="shared" si="698"/>
        <v>5.7902500000000012</v>
      </c>
      <c r="AL519" s="12">
        <f t="shared" si="699"/>
        <v>5.7902500000000012</v>
      </c>
      <c r="AM519" s="12">
        <f t="shared" si="700"/>
        <v>1.3896600000000003</v>
      </c>
      <c r="AN519" s="12">
        <f t="shared" si="701"/>
        <v>1.3896600000000003</v>
      </c>
      <c r="AO519" s="12" t="str">
        <f t="shared" si="702"/>
        <v/>
      </c>
      <c r="AP519" s="12">
        <f t="shared" si="703"/>
        <v>2.1850000000000001</v>
      </c>
      <c r="AQ519" s="12" t="str">
        <f t="shared" si="704"/>
        <v/>
      </c>
      <c r="AR519" s="12" t="str">
        <f t="shared" si="705"/>
        <v/>
      </c>
      <c r="AS519" s="12">
        <f t="shared" si="691"/>
        <v>0.10488000000000001</v>
      </c>
      <c r="AT519" s="12">
        <f t="shared" si="692"/>
        <v>0.92200000000000015</v>
      </c>
      <c r="AU519" s="12" t="str">
        <f t="shared" si="714"/>
        <v/>
      </c>
      <c r="AV519" s="17"/>
    </row>
    <row r="520" spans="1:50" x14ac:dyDescent="0.25">
      <c r="A520" s="43" t="s">
        <v>374</v>
      </c>
      <c r="B520" s="52"/>
      <c r="C520" s="44"/>
      <c r="D520" s="43"/>
      <c r="E520" s="52"/>
      <c r="F520" s="46"/>
      <c r="G520" s="76" t="s">
        <v>430</v>
      </c>
      <c r="H520" s="48" t="s">
        <v>343</v>
      </c>
      <c r="I520" s="48"/>
      <c r="J520" s="84"/>
      <c r="K520" s="85"/>
      <c r="L520" s="47"/>
      <c r="M520" s="3">
        <f>5.74-0.415</f>
        <v>5.3250000000000002</v>
      </c>
      <c r="N520" s="3">
        <f t="shared" si="724"/>
        <v>2.9000000000000004</v>
      </c>
      <c r="O520" s="22">
        <v>0.19</v>
      </c>
      <c r="P520" s="23">
        <v>1</v>
      </c>
      <c r="Q520" s="3"/>
      <c r="R520" s="3">
        <f>1*1.9</f>
        <v>1.9</v>
      </c>
      <c r="S520" s="3"/>
      <c r="T520" s="3"/>
      <c r="U520" s="3"/>
      <c r="V520" s="23"/>
      <c r="W520" s="3"/>
      <c r="X520" s="3"/>
      <c r="Y520" s="17"/>
      <c r="Z520" s="17"/>
      <c r="AA520" s="3"/>
      <c r="AB520" s="3"/>
      <c r="AC520" s="3"/>
      <c r="AD520" s="3"/>
      <c r="AE520" s="3">
        <f t="shared" si="695"/>
        <v>5.3250000000000002</v>
      </c>
      <c r="AF520" s="3">
        <f>1+0.24</f>
        <v>1.24</v>
      </c>
      <c r="AG520" s="3">
        <f>0.19*3</f>
        <v>0.57000000000000006</v>
      </c>
      <c r="AH520" s="3">
        <v>0.2</v>
      </c>
      <c r="AI520" s="3">
        <f t="shared" si="723"/>
        <v>0.19</v>
      </c>
      <c r="AJ520" s="3">
        <f t="shared" si="696"/>
        <v>1.7480000000000002</v>
      </c>
      <c r="AK520" s="12">
        <f t="shared" si="698"/>
        <v>13.542500000000002</v>
      </c>
      <c r="AL520" s="12">
        <f t="shared" si="699"/>
        <v>13.542500000000002</v>
      </c>
      <c r="AM520" s="12">
        <f t="shared" si="700"/>
        <v>2.5730750000000007</v>
      </c>
      <c r="AN520" s="12">
        <f t="shared" si="701"/>
        <v>2.5730750000000007</v>
      </c>
      <c r="AO520" s="12" t="str">
        <f t="shared" si="702"/>
        <v/>
      </c>
      <c r="AP520" s="12">
        <f t="shared" si="703"/>
        <v>5.3250000000000002</v>
      </c>
      <c r="AQ520" s="12" t="str">
        <f t="shared" si="704"/>
        <v/>
      </c>
      <c r="AR520" s="12" t="str">
        <f t="shared" si="705"/>
        <v/>
      </c>
      <c r="AS520" s="12">
        <f t="shared" si="691"/>
        <v>0.20235000000000003</v>
      </c>
      <c r="AT520" s="12">
        <f t="shared" si="692"/>
        <v>1.7480000000000002</v>
      </c>
      <c r="AU520" s="12" t="str">
        <f t="shared" si="714"/>
        <v/>
      </c>
      <c r="AV520" s="17"/>
    </row>
    <row r="521" spans="1:50" x14ac:dyDescent="0.25">
      <c r="A521" s="43" t="s">
        <v>374</v>
      </c>
      <c r="B521" s="52"/>
      <c r="C521" s="44"/>
      <c r="D521" s="43"/>
      <c r="E521" s="52"/>
      <c r="F521" s="46"/>
      <c r="G521" s="76" t="s">
        <v>431</v>
      </c>
      <c r="H521" s="48" t="s">
        <v>343</v>
      </c>
      <c r="I521" s="48"/>
      <c r="J521" s="84"/>
      <c r="K521" s="85"/>
      <c r="L521" s="47"/>
      <c r="M521" s="3">
        <v>5.74</v>
      </c>
      <c r="N521" s="3">
        <f t="shared" si="724"/>
        <v>2.9000000000000004</v>
      </c>
      <c r="O521" s="22">
        <v>0.19</v>
      </c>
      <c r="P521" s="23">
        <v>1</v>
      </c>
      <c r="Q521" s="3"/>
      <c r="R521" s="3"/>
      <c r="S521" s="3"/>
      <c r="T521" s="3"/>
      <c r="U521" s="3"/>
      <c r="V521" s="23"/>
      <c r="W521" s="3"/>
      <c r="X521" s="3"/>
      <c r="Y521" s="17"/>
      <c r="Z521" s="17"/>
      <c r="AA521" s="3"/>
      <c r="AB521" s="3"/>
      <c r="AC521" s="3"/>
      <c r="AD521" s="3"/>
      <c r="AE521" s="3">
        <f t="shared" si="695"/>
        <v>5.74</v>
      </c>
      <c r="AF521" s="3">
        <f>0.29+0.24</f>
        <v>0.53</v>
      </c>
      <c r="AG521" s="3">
        <f>0.19*3</f>
        <v>0.57000000000000006</v>
      </c>
      <c r="AH521" s="3">
        <v>0.2</v>
      </c>
      <c r="AI521" s="3">
        <f t="shared" si="723"/>
        <v>0.19</v>
      </c>
      <c r="AJ521" s="3">
        <f t="shared" si="696"/>
        <v>2.198</v>
      </c>
      <c r="AK521" s="12">
        <f t="shared" si="698"/>
        <v>16.646000000000004</v>
      </c>
      <c r="AL521" s="12">
        <f t="shared" si="699"/>
        <v>16.646000000000004</v>
      </c>
      <c r="AM521" s="12">
        <f t="shared" si="700"/>
        <v>3.1627400000000008</v>
      </c>
      <c r="AN521" s="12">
        <f t="shared" si="701"/>
        <v>3.1627400000000008</v>
      </c>
      <c r="AO521" s="12" t="str">
        <f t="shared" si="702"/>
        <v/>
      </c>
      <c r="AP521" s="12">
        <f t="shared" si="703"/>
        <v>5.74</v>
      </c>
      <c r="AQ521" s="12" t="str">
        <f t="shared" si="704"/>
        <v/>
      </c>
      <c r="AR521" s="12" t="str">
        <f t="shared" si="705"/>
        <v/>
      </c>
      <c r="AS521" s="12">
        <f t="shared" si="691"/>
        <v>0.21812000000000004</v>
      </c>
      <c r="AT521" s="12">
        <f t="shared" si="692"/>
        <v>2.198</v>
      </c>
      <c r="AU521" s="12" t="str">
        <f t="shared" si="714"/>
        <v/>
      </c>
      <c r="AV521" s="17"/>
    </row>
    <row r="522" spans="1:50" x14ac:dyDescent="0.25">
      <c r="A522" s="43" t="s">
        <v>374</v>
      </c>
      <c r="B522" s="52"/>
      <c r="C522" s="44"/>
      <c r="D522" s="43"/>
      <c r="E522" s="52"/>
      <c r="F522" s="46"/>
      <c r="G522" s="76" t="s">
        <v>432</v>
      </c>
      <c r="H522" s="48" t="s">
        <v>343</v>
      </c>
      <c r="I522" s="48"/>
      <c r="J522" s="84"/>
      <c r="K522" s="85"/>
      <c r="L522" s="47"/>
      <c r="M522" s="3">
        <v>2.42</v>
      </c>
      <c r="N522" s="3">
        <f t="shared" si="724"/>
        <v>2.9000000000000004</v>
      </c>
      <c r="O522" s="22">
        <v>0.19</v>
      </c>
      <c r="P522" s="23">
        <v>1</v>
      </c>
      <c r="Q522" s="3"/>
      <c r="R522" s="3"/>
      <c r="S522" s="3"/>
      <c r="T522" s="3"/>
      <c r="U522" s="3"/>
      <c r="V522" s="23"/>
      <c r="W522" s="3"/>
      <c r="X522" s="3"/>
      <c r="Y522" s="17"/>
      <c r="Z522" s="17"/>
      <c r="AA522" s="3"/>
      <c r="AB522" s="3"/>
      <c r="AC522" s="3"/>
      <c r="AD522" s="3"/>
      <c r="AE522" s="3">
        <f t="shared" si="695"/>
        <v>2.42</v>
      </c>
      <c r="AF522" s="3"/>
      <c r="AG522" s="3"/>
      <c r="AH522" s="3">
        <v>0.2</v>
      </c>
      <c r="AI522" s="3">
        <f t="shared" si="723"/>
        <v>0.19</v>
      </c>
      <c r="AJ522" s="3">
        <f t="shared" si="696"/>
        <v>0.96799999999999997</v>
      </c>
      <c r="AK522" s="12">
        <f t="shared" si="698"/>
        <v>7.0180000000000007</v>
      </c>
      <c r="AL522" s="12">
        <f t="shared" si="699"/>
        <v>7.0180000000000007</v>
      </c>
      <c r="AM522" s="12">
        <f t="shared" si="700"/>
        <v>1.33342</v>
      </c>
      <c r="AN522" s="12">
        <f t="shared" si="701"/>
        <v>1.33342</v>
      </c>
      <c r="AO522" s="12" t="str">
        <f t="shared" si="702"/>
        <v/>
      </c>
      <c r="AP522" s="12">
        <f t="shared" si="703"/>
        <v>2.42</v>
      </c>
      <c r="AQ522" s="12" t="str">
        <f t="shared" si="704"/>
        <v/>
      </c>
      <c r="AR522" s="12" t="str">
        <f t="shared" si="705"/>
        <v/>
      </c>
      <c r="AS522" s="12">
        <f t="shared" si="691"/>
        <v>9.196E-2</v>
      </c>
      <c r="AT522" s="12">
        <f t="shared" si="692"/>
        <v>0.96799999999999997</v>
      </c>
      <c r="AU522" s="12" t="str">
        <f t="shared" si="714"/>
        <v/>
      </c>
      <c r="AV522" s="17"/>
    </row>
    <row r="523" spans="1:50" x14ac:dyDescent="0.25">
      <c r="A523" s="43" t="s">
        <v>374</v>
      </c>
      <c r="B523" s="52"/>
      <c r="C523" s="44"/>
      <c r="D523" s="43"/>
      <c r="E523" s="52"/>
      <c r="F523" s="46"/>
      <c r="G523" s="76" t="s">
        <v>433</v>
      </c>
      <c r="H523" s="48" t="s">
        <v>341</v>
      </c>
      <c r="I523" s="48"/>
      <c r="J523" s="84"/>
      <c r="K523" s="85"/>
      <c r="L523" s="47"/>
      <c r="M523" s="3">
        <v>4.49</v>
      </c>
      <c r="N523" s="3">
        <f t="shared" si="724"/>
        <v>2.9000000000000004</v>
      </c>
      <c r="O523" s="22">
        <v>0.24</v>
      </c>
      <c r="P523" s="23">
        <v>1</v>
      </c>
      <c r="Q523" s="3"/>
      <c r="R523" s="3"/>
      <c r="S523" s="3"/>
      <c r="T523" s="3"/>
      <c r="U523" s="3"/>
      <c r="V523" s="23"/>
      <c r="W523" s="3"/>
      <c r="X523" s="3"/>
      <c r="Y523" s="17"/>
      <c r="Z523" s="17"/>
      <c r="AA523" s="3"/>
      <c r="AB523" s="3"/>
      <c r="AC523" s="3"/>
      <c r="AD523" s="3"/>
      <c r="AE523" s="3">
        <f t="shared" si="695"/>
        <v>4.49</v>
      </c>
      <c r="AF523" s="3"/>
      <c r="AG523" s="3">
        <f>0.24*2</f>
        <v>0.48</v>
      </c>
      <c r="AH523" s="3">
        <v>0.2</v>
      </c>
      <c r="AI523" s="3">
        <f t="shared" si="723"/>
        <v>0.24</v>
      </c>
      <c r="AJ523" s="3">
        <f t="shared" si="696"/>
        <v>1.8920000000000003</v>
      </c>
      <c r="AK523" s="12">
        <f t="shared" si="698"/>
        <v>13.021000000000003</v>
      </c>
      <c r="AL523" s="12">
        <f t="shared" si="699"/>
        <v>13.021000000000003</v>
      </c>
      <c r="AM523" s="12">
        <f t="shared" si="700"/>
        <v>3.1250400000000007</v>
      </c>
      <c r="AN523" s="12">
        <f t="shared" si="701"/>
        <v>3.1250400000000007</v>
      </c>
      <c r="AO523" s="12" t="str">
        <f t="shared" si="702"/>
        <v/>
      </c>
      <c r="AP523" s="12">
        <f t="shared" si="703"/>
        <v>4.49</v>
      </c>
      <c r="AQ523" s="12" t="str">
        <f t="shared" si="704"/>
        <v/>
      </c>
      <c r="AR523" s="12" t="str">
        <f t="shared" si="705"/>
        <v/>
      </c>
      <c r="AS523" s="12">
        <f t="shared" si="691"/>
        <v>0.21552000000000002</v>
      </c>
      <c r="AT523" s="12">
        <f t="shared" si="692"/>
        <v>1.8920000000000003</v>
      </c>
      <c r="AU523" s="12" t="str">
        <f t="shared" si="714"/>
        <v/>
      </c>
      <c r="AV523" s="17"/>
    </row>
    <row r="524" spans="1:50" x14ac:dyDescent="0.25">
      <c r="A524" s="43" t="s">
        <v>374</v>
      </c>
      <c r="B524" s="52"/>
      <c r="C524" s="44"/>
      <c r="D524" s="43"/>
      <c r="E524" s="52"/>
      <c r="F524" s="46"/>
      <c r="G524" s="76" t="s">
        <v>434</v>
      </c>
      <c r="H524" s="48" t="s">
        <v>341</v>
      </c>
      <c r="I524" s="48"/>
      <c r="J524" s="84"/>
      <c r="K524" s="85"/>
      <c r="L524" s="47"/>
      <c r="M524" s="3">
        <v>5.6950000000000003</v>
      </c>
      <c r="N524" s="3">
        <f t="shared" si="724"/>
        <v>2.9000000000000004</v>
      </c>
      <c r="O524" s="22">
        <v>0.24</v>
      </c>
      <c r="P524" s="23">
        <v>1</v>
      </c>
      <c r="Q524" s="3"/>
      <c r="R524" s="3"/>
      <c r="S524" s="3"/>
      <c r="T524" s="3"/>
      <c r="U524" s="3"/>
      <c r="V524" s="23"/>
      <c r="W524" s="3"/>
      <c r="X524" s="3"/>
      <c r="Y524" s="17"/>
      <c r="Z524" s="17"/>
      <c r="AA524" s="3"/>
      <c r="AB524" s="3"/>
      <c r="AC524" s="3"/>
      <c r="AD524" s="3"/>
      <c r="AE524" s="3">
        <f t="shared" si="695"/>
        <v>5.6950000000000003</v>
      </c>
      <c r="AF524" s="3"/>
      <c r="AG524" s="3">
        <f t="shared" ref="AG524:AG529" si="726">0.24*2</f>
        <v>0.48</v>
      </c>
      <c r="AH524" s="3">
        <v>0.2</v>
      </c>
      <c r="AI524" s="3">
        <f t="shared" si="723"/>
        <v>0.24</v>
      </c>
      <c r="AJ524" s="3">
        <f t="shared" si="696"/>
        <v>2.3740000000000001</v>
      </c>
      <c r="AK524" s="12">
        <f t="shared" si="698"/>
        <v>16.515500000000003</v>
      </c>
      <c r="AL524" s="12">
        <f t="shared" si="699"/>
        <v>16.515500000000003</v>
      </c>
      <c r="AM524" s="12">
        <f t="shared" si="700"/>
        <v>3.9637200000000004</v>
      </c>
      <c r="AN524" s="12">
        <f t="shared" si="701"/>
        <v>3.9637200000000004</v>
      </c>
      <c r="AO524" s="12" t="str">
        <f t="shared" si="702"/>
        <v/>
      </c>
      <c r="AP524" s="12">
        <f t="shared" si="703"/>
        <v>5.6950000000000003</v>
      </c>
      <c r="AQ524" s="12" t="str">
        <f t="shared" si="704"/>
        <v/>
      </c>
      <c r="AR524" s="12" t="str">
        <f t="shared" si="705"/>
        <v/>
      </c>
      <c r="AS524" s="12">
        <f t="shared" si="691"/>
        <v>0.27335999999999999</v>
      </c>
      <c r="AT524" s="12">
        <f t="shared" si="692"/>
        <v>2.3740000000000001</v>
      </c>
      <c r="AU524" s="12" t="str">
        <f t="shared" ref="AU524:AU556" si="727">IF(OR(H524="s1",H524="s2",H524="s3",H524="s4",H524="s4*",H524="s5",H524="s12",H524="s16"),IF(M524&gt;=4,M524,""),"")</f>
        <v/>
      </c>
      <c r="AV524" s="17"/>
    </row>
    <row r="525" spans="1:50" x14ac:dyDescent="0.25">
      <c r="A525" s="43" t="s">
        <v>374</v>
      </c>
      <c r="B525" s="52"/>
      <c r="C525" s="44"/>
      <c r="D525" s="43"/>
      <c r="E525" s="52"/>
      <c r="F525" s="46"/>
      <c r="G525" s="76" t="s">
        <v>435</v>
      </c>
      <c r="H525" s="48" t="s">
        <v>341</v>
      </c>
      <c r="I525" s="48"/>
      <c r="J525" s="84"/>
      <c r="K525" s="85"/>
      <c r="L525" s="47"/>
      <c r="M525" s="3">
        <v>0.94</v>
      </c>
      <c r="N525" s="3">
        <f t="shared" si="724"/>
        <v>2.9000000000000004</v>
      </c>
      <c r="O525" s="22">
        <v>0.24</v>
      </c>
      <c r="P525" s="23">
        <v>1</v>
      </c>
      <c r="Q525" s="3"/>
      <c r="R525" s="3"/>
      <c r="S525" s="3"/>
      <c r="T525" s="3"/>
      <c r="U525" s="3"/>
      <c r="V525" s="23"/>
      <c r="W525" s="3"/>
      <c r="X525" s="3"/>
      <c r="Y525" s="17"/>
      <c r="Z525" s="17"/>
      <c r="AA525" s="3"/>
      <c r="AB525" s="3"/>
      <c r="AC525" s="3"/>
      <c r="AD525" s="3"/>
      <c r="AE525" s="3">
        <f t="shared" si="695"/>
        <v>0.94</v>
      </c>
      <c r="AF525" s="3"/>
      <c r="AG525" s="3">
        <f t="shared" si="726"/>
        <v>0.48</v>
      </c>
      <c r="AH525" s="3">
        <v>0.2</v>
      </c>
      <c r="AI525" s="3">
        <f t="shared" si="723"/>
        <v>0.24</v>
      </c>
      <c r="AJ525" s="3">
        <f t="shared" si="696"/>
        <v>0.47199999999999998</v>
      </c>
      <c r="AK525" s="12">
        <f t="shared" si="698"/>
        <v>2.726</v>
      </c>
      <c r="AL525" s="12">
        <f t="shared" si="699"/>
        <v>2.726</v>
      </c>
      <c r="AM525" s="12">
        <f t="shared" si="700"/>
        <v>0.65423999999999993</v>
      </c>
      <c r="AN525" s="12">
        <f t="shared" si="701"/>
        <v>0.65423999999999993</v>
      </c>
      <c r="AO525" s="12" t="str">
        <f t="shared" si="702"/>
        <v/>
      </c>
      <c r="AP525" s="12">
        <f t="shared" si="703"/>
        <v>0.94</v>
      </c>
      <c r="AQ525" s="12" t="str">
        <f t="shared" si="704"/>
        <v/>
      </c>
      <c r="AR525" s="12" t="str">
        <f t="shared" si="705"/>
        <v/>
      </c>
      <c r="AS525" s="12">
        <f t="shared" si="691"/>
        <v>4.512E-2</v>
      </c>
      <c r="AT525" s="12">
        <f t="shared" si="692"/>
        <v>0.47199999999999998</v>
      </c>
      <c r="AU525" s="12" t="str">
        <f t="shared" si="727"/>
        <v/>
      </c>
      <c r="AV525" s="17"/>
    </row>
    <row r="526" spans="1:50" x14ac:dyDescent="0.25">
      <c r="A526" s="43" t="s">
        <v>374</v>
      </c>
      <c r="B526" s="52"/>
      <c r="C526" s="44"/>
      <c r="D526" s="43"/>
      <c r="E526" s="52"/>
      <c r="F526" s="46"/>
      <c r="G526" s="76" t="s">
        <v>436</v>
      </c>
      <c r="H526" s="48" t="s">
        <v>341</v>
      </c>
      <c r="I526" s="48"/>
      <c r="J526" s="84"/>
      <c r="K526" s="85"/>
      <c r="L526" s="47"/>
      <c r="M526" s="3">
        <v>4.4450000000000003</v>
      </c>
      <c r="N526" s="3">
        <f t="shared" si="724"/>
        <v>2.9000000000000004</v>
      </c>
      <c r="O526" s="22">
        <v>0.24</v>
      </c>
      <c r="P526" s="23">
        <v>1</v>
      </c>
      <c r="Q526" s="3"/>
      <c r="R526" s="3"/>
      <c r="S526" s="3"/>
      <c r="T526" s="3"/>
      <c r="U526" s="3"/>
      <c r="V526" s="23"/>
      <c r="W526" s="3"/>
      <c r="X526" s="3"/>
      <c r="Y526" s="17"/>
      <c r="Z526" s="17"/>
      <c r="AA526" s="3"/>
      <c r="AB526" s="3"/>
      <c r="AC526" s="3"/>
      <c r="AD526" s="3"/>
      <c r="AE526" s="3">
        <f t="shared" si="695"/>
        <v>4.4450000000000003</v>
      </c>
      <c r="AF526" s="3"/>
      <c r="AG526" s="3">
        <f t="shared" si="726"/>
        <v>0.48</v>
      </c>
      <c r="AH526" s="3">
        <v>0.2</v>
      </c>
      <c r="AI526" s="3">
        <f t="shared" si="723"/>
        <v>0.24</v>
      </c>
      <c r="AJ526" s="3">
        <f t="shared" si="696"/>
        <v>1.8740000000000003</v>
      </c>
      <c r="AK526" s="12">
        <f t="shared" si="698"/>
        <v>12.890500000000003</v>
      </c>
      <c r="AL526" s="12">
        <f t="shared" si="699"/>
        <v>12.890500000000003</v>
      </c>
      <c r="AM526" s="12">
        <f t="shared" si="700"/>
        <v>3.0937200000000007</v>
      </c>
      <c r="AN526" s="12">
        <f t="shared" si="701"/>
        <v>3.0937200000000007</v>
      </c>
      <c r="AO526" s="12" t="str">
        <f t="shared" si="702"/>
        <v/>
      </c>
      <c r="AP526" s="12">
        <f t="shared" si="703"/>
        <v>4.4450000000000003</v>
      </c>
      <c r="AQ526" s="12" t="str">
        <f t="shared" si="704"/>
        <v/>
      </c>
      <c r="AR526" s="12" t="str">
        <f t="shared" si="705"/>
        <v/>
      </c>
      <c r="AS526" s="12">
        <f t="shared" si="691"/>
        <v>0.21336000000000002</v>
      </c>
      <c r="AT526" s="12">
        <f t="shared" si="692"/>
        <v>1.8740000000000003</v>
      </c>
      <c r="AU526" s="12" t="str">
        <f t="shared" si="727"/>
        <v/>
      </c>
      <c r="AV526" s="17"/>
    </row>
    <row r="527" spans="1:50" x14ac:dyDescent="0.25">
      <c r="A527" s="43" t="s">
        <v>374</v>
      </c>
      <c r="B527" s="52"/>
      <c r="C527" s="44"/>
      <c r="D527" s="43"/>
      <c r="E527" s="52"/>
      <c r="F527" s="46"/>
      <c r="G527" s="76" t="s">
        <v>437</v>
      </c>
      <c r="H527" s="48" t="s">
        <v>341</v>
      </c>
      <c r="I527" s="48"/>
      <c r="J527" s="84"/>
      <c r="K527" s="85"/>
      <c r="L527" s="47"/>
      <c r="M527" s="3">
        <v>4.4450000000000003</v>
      </c>
      <c r="N527" s="3">
        <f t="shared" si="724"/>
        <v>2.9000000000000004</v>
      </c>
      <c r="O527" s="22">
        <v>0.24</v>
      </c>
      <c r="P527" s="23">
        <v>1</v>
      </c>
      <c r="Q527" s="3"/>
      <c r="R527" s="3"/>
      <c r="S527" s="3"/>
      <c r="T527" s="3"/>
      <c r="U527" s="3"/>
      <c r="V527" s="23"/>
      <c r="W527" s="3"/>
      <c r="X527" s="3"/>
      <c r="Y527" s="17"/>
      <c r="Z527" s="17"/>
      <c r="AA527" s="3"/>
      <c r="AB527" s="3"/>
      <c r="AC527" s="3"/>
      <c r="AD527" s="3"/>
      <c r="AE527" s="3">
        <f t="shared" si="695"/>
        <v>4.4450000000000003</v>
      </c>
      <c r="AF527" s="3"/>
      <c r="AG527" s="3">
        <f t="shared" si="726"/>
        <v>0.48</v>
      </c>
      <c r="AH527" s="3">
        <v>0.2</v>
      </c>
      <c r="AI527" s="3">
        <f t="shared" si="723"/>
        <v>0.24</v>
      </c>
      <c r="AJ527" s="3">
        <f t="shared" si="696"/>
        <v>1.8740000000000003</v>
      </c>
      <c r="AK527" s="12">
        <f t="shared" si="698"/>
        <v>12.890500000000003</v>
      </c>
      <c r="AL527" s="12">
        <f t="shared" si="699"/>
        <v>12.890500000000003</v>
      </c>
      <c r="AM527" s="12">
        <f t="shared" si="700"/>
        <v>3.0937200000000007</v>
      </c>
      <c r="AN527" s="12">
        <f t="shared" si="701"/>
        <v>3.0937200000000007</v>
      </c>
      <c r="AO527" s="12" t="str">
        <f t="shared" si="702"/>
        <v/>
      </c>
      <c r="AP527" s="12">
        <f t="shared" si="703"/>
        <v>4.4450000000000003</v>
      </c>
      <c r="AQ527" s="12" t="str">
        <f t="shared" si="704"/>
        <v/>
      </c>
      <c r="AR527" s="12" t="str">
        <f t="shared" si="705"/>
        <v/>
      </c>
      <c r="AS527" s="12">
        <f t="shared" si="691"/>
        <v>0.21336000000000002</v>
      </c>
      <c r="AT527" s="12">
        <f t="shared" si="692"/>
        <v>1.8740000000000003</v>
      </c>
      <c r="AU527" s="12" t="str">
        <f t="shared" si="727"/>
        <v/>
      </c>
      <c r="AV527" s="17"/>
    </row>
    <row r="528" spans="1:50" x14ac:dyDescent="0.25">
      <c r="A528" s="43" t="s">
        <v>374</v>
      </c>
      <c r="B528" s="52"/>
      <c r="C528" s="44"/>
      <c r="D528" s="43"/>
      <c r="E528" s="52"/>
      <c r="F528" s="46"/>
      <c r="G528" s="76" t="s">
        <v>438</v>
      </c>
      <c r="H528" s="48" t="s">
        <v>341</v>
      </c>
      <c r="I528" s="48"/>
      <c r="J528" s="84"/>
      <c r="K528" s="85"/>
      <c r="L528" s="47"/>
      <c r="M528" s="3">
        <v>2.3650000000000002</v>
      </c>
      <c r="N528" s="3">
        <f t="shared" si="724"/>
        <v>2.9000000000000004</v>
      </c>
      <c r="O528" s="22">
        <v>0.24</v>
      </c>
      <c r="P528" s="23">
        <v>1</v>
      </c>
      <c r="Q528" s="3"/>
      <c r="R528" s="3"/>
      <c r="S528" s="3"/>
      <c r="T528" s="3"/>
      <c r="U528" s="3"/>
      <c r="V528" s="23"/>
      <c r="W528" s="3"/>
      <c r="X528" s="3"/>
      <c r="Y528" s="17"/>
      <c r="Z528" s="17"/>
      <c r="AA528" s="3"/>
      <c r="AB528" s="3"/>
      <c r="AC528" s="3"/>
      <c r="AD528" s="3"/>
      <c r="AE528" s="3">
        <f t="shared" si="695"/>
        <v>2.3650000000000002</v>
      </c>
      <c r="AF528" s="3"/>
      <c r="AG528" s="3">
        <f t="shared" si="726"/>
        <v>0.48</v>
      </c>
      <c r="AH528" s="3">
        <v>0.2</v>
      </c>
      <c r="AI528" s="3">
        <f t="shared" si="723"/>
        <v>0.24</v>
      </c>
      <c r="AJ528" s="3">
        <f t="shared" si="696"/>
        <v>1.0420000000000003</v>
      </c>
      <c r="AK528" s="12">
        <f t="shared" si="698"/>
        <v>6.8585000000000012</v>
      </c>
      <c r="AL528" s="12">
        <f t="shared" si="699"/>
        <v>6.8585000000000012</v>
      </c>
      <c r="AM528" s="12">
        <f t="shared" si="700"/>
        <v>1.6460400000000002</v>
      </c>
      <c r="AN528" s="12">
        <f t="shared" si="701"/>
        <v>1.6460400000000002</v>
      </c>
      <c r="AO528" s="12" t="str">
        <f t="shared" si="702"/>
        <v/>
      </c>
      <c r="AP528" s="12">
        <f t="shared" si="703"/>
        <v>2.3650000000000002</v>
      </c>
      <c r="AQ528" s="12" t="str">
        <f t="shared" si="704"/>
        <v/>
      </c>
      <c r="AR528" s="12" t="str">
        <f t="shared" si="705"/>
        <v/>
      </c>
      <c r="AS528" s="12">
        <f t="shared" si="691"/>
        <v>0.11352000000000001</v>
      </c>
      <c r="AT528" s="12">
        <f t="shared" si="692"/>
        <v>1.0420000000000003</v>
      </c>
      <c r="AU528" s="12" t="str">
        <f t="shared" si="727"/>
        <v/>
      </c>
      <c r="AV528" s="17"/>
    </row>
    <row r="529" spans="1:48" x14ac:dyDescent="0.25">
      <c r="A529" s="43" t="s">
        <v>374</v>
      </c>
      <c r="B529" s="52"/>
      <c r="C529" s="44"/>
      <c r="D529" s="43"/>
      <c r="E529" s="52"/>
      <c r="F529" s="46"/>
      <c r="G529" s="76" t="s">
        <v>439</v>
      </c>
      <c r="H529" s="48" t="s">
        <v>341</v>
      </c>
      <c r="I529" s="48"/>
      <c r="J529" s="84"/>
      <c r="K529" s="85"/>
      <c r="L529" s="47"/>
      <c r="M529" s="3">
        <v>5.55</v>
      </c>
      <c r="N529" s="3">
        <f t="shared" si="724"/>
        <v>2.9000000000000004</v>
      </c>
      <c r="O529" s="22">
        <v>0.24</v>
      </c>
      <c r="P529" s="23">
        <v>1</v>
      </c>
      <c r="Q529" s="3"/>
      <c r="R529" s="3"/>
      <c r="S529" s="3"/>
      <c r="T529" s="3"/>
      <c r="U529" s="3"/>
      <c r="V529" s="23"/>
      <c r="W529" s="3"/>
      <c r="X529" s="3"/>
      <c r="Y529" s="17"/>
      <c r="Z529" s="17"/>
      <c r="AA529" s="3"/>
      <c r="AB529" s="3"/>
      <c r="AC529" s="3"/>
      <c r="AD529" s="3"/>
      <c r="AE529" s="3">
        <f t="shared" si="695"/>
        <v>5.55</v>
      </c>
      <c r="AF529" s="3"/>
      <c r="AG529" s="3">
        <f t="shared" si="726"/>
        <v>0.48</v>
      </c>
      <c r="AH529" s="3">
        <v>0.2</v>
      </c>
      <c r="AI529" s="3">
        <f t="shared" si="723"/>
        <v>0.24</v>
      </c>
      <c r="AJ529" s="3">
        <f t="shared" si="696"/>
        <v>2.3160000000000003</v>
      </c>
      <c r="AK529" s="12">
        <f t="shared" si="384"/>
        <v>16.095000000000002</v>
      </c>
      <c r="AL529" s="12">
        <f t="shared" si="385"/>
        <v>16.095000000000002</v>
      </c>
      <c r="AM529" s="12">
        <f t="shared" si="386"/>
        <v>3.8628000000000005</v>
      </c>
      <c r="AN529" s="12">
        <f t="shared" si="387"/>
        <v>3.8628000000000005</v>
      </c>
      <c r="AO529" s="12" t="str">
        <f t="shared" si="388"/>
        <v/>
      </c>
      <c r="AP529" s="12">
        <f t="shared" si="389"/>
        <v>5.55</v>
      </c>
      <c r="AQ529" s="12" t="str">
        <f t="shared" si="390"/>
        <v/>
      </c>
      <c r="AR529" s="12" t="str">
        <f t="shared" si="391"/>
        <v/>
      </c>
      <c r="AS529" s="12">
        <f t="shared" si="691"/>
        <v>0.26640000000000003</v>
      </c>
      <c r="AT529" s="12">
        <f t="shared" si="692"/>
        <v>2.3160000000000003</v>
      </c>
      <c r="AU529" s="12" t="str">
        <f t="shared" si="727"/>
        <v/>
      </c>
      <c r="AV529" s="17"/>
    </row>
    <row r="530" spans="1:48" x14ac:dyDescent="0.25">
      <c r="A530" s="43" t="s">
        <v>374</v>
      </c>
      <c r="B530" s="52"/>
      <c r="C530" s="44"/>
      <c r="D530" s="43"/>
      <c r="E530" s="52"/>
      <c r="F530" s="46"/>
      <c r="G530" s="76" t="s">
        <v>440</v>
      </c>
      <c r="H530" s="48" t="s">
        <v>341</v>
      </c>
      <c r="I530" s="48"/>
      <c r="J530" s="84"/>
      <c r="K530" s="85"/>
      <c r="L530" s="47"/>
      <c r="M530" s="3">
        <v>6.8</v>
      </c>
      <c r="N530" s="3">
        <f t="shared" si="724"/>
        <v>2.9000000000000004</v>
      </c>
      <c r="O530" s="22">
        <v>0.24</v>
      </c>
      <c r="P530" s="23">
        <v>1</v>
      </c>
      <c r="Q530" s="3"/>
      <c r="R530" s="3"/>
      <c r="S530" s="3"/>
      <c r="T530" s="3"/>
      <c r="U530" s="3"/>
      <c r="V530" s="23"/>
      <c r="W530" s="3"/>
      <c r="X530" s="3"/>
      <c r="Y530" s="17"/>
      <c r="Z530" s="17"/>
      <c r="AA530" s="3"/>
      <c r="AB530" s="3"/>
      <c r="AC530" s="3"/>
      <c r="AD530" s="3"/>
      <c r="AE530" s="3">
        <f t="shared" si="695"/>
        <v>6.8</v>
      </c>
      <c r="AF530" s="3">
        <f>0.4*2+0.2</f>
        <v>1</v>
      </c>
      <c r="AG530" s="3">
        <f>0.24*3*2</f>
        <v>1.44</v>
      </c>
      <c r="AH530" s="3">
        <v>0.2</v>
      </c>
      <c r="AI530" s="3">
        <f t="shared" si="723"/>
        <v>0.24</v>
      </c>
      <c r="AJ530" s="3">
        <f t="shared" si="696"/>
        <v>2.6080000000000001</v>
      </c>
      <c r="AK530" s="12">
        <f t="shared" si="384"/>
        <v>19.720000000000002</v>
      </c>
      <c r="AL530" s="12">
        <f t="shared" si="385"/>
        <v>19.720000000000002</v>
      </c>
      <c r="AM530" s="12">
        <f t="shared" si="386"/>
        <v>4.7328000000000001</v>
      </c>
      <c r="AN530" s="12">
        <f t="shared" si="387"/>
        <v>4.7328000000000001</v>
      </c>
      <c r="AO530" s="12" t="str">
        <f t="shared" si="388"/>
        <v/>
      </c>
      <c r="AP530" s="12">
        <f t="shared" si="389"/>
        <v>6.8</v>
      </c>
      <c r="AQ530" s="12" t="str">
        <f t="shared" si="390"/>
        <v/>
      </c>
      <c r="AR530" s="12" t="str">
        <f t="shared" si="391"/>
        <v/>
      </c>
      <c r="AS530" s="12">
        <f t="shared" si="691"/>
        <v>0.32640000000000002</v>
      </c>
      <c r="AT530" s="12">
        <f t="shared" si="692"/>
        <v>2.6080000000000001</v>
      </c>
      <c r="AU530" s="12" t="str">
        <f t="shared" si="727"/>
        <v/>
      </c>
      <c r="AV530" s="17"/>
    </row>
    <row r="531" spans="1:48" x14ac:dyDescent="0.25">
      <c r="A531" s="43" t="s">
        <v>374</v>
      </c>
      <c r="B531" s="52" t="s">
        <v>519</v>
      </c>
      <c r="C531" s="44"/>
      <c r="D531" s="43"/>
      <c r="E531" s="52" t="s">
        <v>517</v>
      </c>
      <c r="F531" s="46"/>
      <c r="G531" s="76" t="s">
        <v>820</v>
      </c>
      <c r="H531" s="48" t="s">
        <v>1096</v>
      </c>
      <c r="I531" s="48"/>
      <c r="J531" s="84" t="s">
        <v>1129</v>
      </c>
      <c r="K531" s="85"/>
      <c r="L531" s="47"/>
      <c r="M531" s="3">
        <v>4.32</v>
      </c>
      <c r="N531" s="3">
        <f>9.55-6.9</f>
        <v>2.6500000000000004</v>
      </c>
      <c r="O531" s="22">
        <v>0.155</v>
      </c>
      <c r="P531" s="23">
        <v>1</v>
      </c>
      <c r="Q531" s="3"/>
      <c r="R531" s="3"/>
      <c r="S531" s="3"/>
      <c r="T531" s="3"/>
      <c r="U531" s="3"/>
      <c r="V531" s="23"/>
      <c r="W531" s="3"/>
      <c r="X531" s="3"/>
      <c r="Y531" s="17"/>
      <c r="Z531" s="17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12">
        <f t="shared" ref="AK531:AK594" si="728">IF(((M531*N531)-Q531-R531-S531+T531+U531)=0,"",((M531*N531)-Q531-R531-S531+T531+U531))</f>
        <v>11.448000000000002</v>
      </c>
      <c r="AL531" s="12">
        <f t="shared" ref="AL531:AL594" si="729">IF(PRODUCT(P531,AK531)=0,"",P531*AK531)</f>
        <v>11.448000000000002</v>
      </c>
      <c r="AM531" s="12">
        <f t="shared" ref="AM531:AM594" si="730">IF(PRODUCT(AK531,O531)=0,"",AK531*O531)</f>
        <v>1.7744400000000002</v>
      </c>
      <c r="AN531" s="12">
        <f t="shared" ref="AN531:AN594" si="731">IF(PRODUCT(AM531,P531)=0,"",AM531*P531)</f>
        <v>1.7744400000000002</v>
      </c>
      <c r="AO531" s="12" t="str">
        <f t="shared" ref="AO531:AO594" si="732">IF(N531*V531-W531+X531=0,"",N531*V531-W531+X531)</f>
        <v/>
      </c>
      <c r="AP531" s="12">
        <f t="shared" ref="AP531:AP594" si="733">IF(PRODUCT(M531,P531)=0,"",M531*P531)</f>
        <v>4.32</v>
      </c>
      <c r="AQ531" s="12" t="str">
        <f t="shared" ref="AQ531:AQ594" si="734">IF(AA531+AB531=0,"",AA531+AB531)</f>
        <v/>
      </c>
      <c r="AR531" s="12" t="str">
        <f t="shared" ref="AR531:AR594" si="735">IF(AC531+AD531=0,"",AC531+AD531)</f>
        <v/>
      </c>
      <c r="AS531" s="12" t="str">
        <f t="shared" ref="AS531:AS594" si="736">IF((AE531*AH531*AI531)*P531=0,"",(AE531*AH531*AI531)*P531)</f>
        <v/>
      </c>
      <c r="AT531" s="12" t="str">
        <f t="shared" ref="AT531:AT594" si="737">IF(AJ531*P531=0,"",AJ531*P531)</f>
        <v/>
      </c>
      <c r="AU531" s="12" t="str">
        <f t="shared" si="727"/>
        <v/>
      </c>
      <c r="AV531" s="17"/>
    </row>
    <row r="532" spans="1:48" x14ac:dyDescent="0.25">
      <c r="A532" s="43" t="s">
        <v>374</v>
      </c>
      <c r="B532" s="52" t="s">
        <v>518</v>
      </c>
      <c r="C532" s="44"/>
      <c r="D532" s="43"/>
      <c r="E532" s="52" t="s">
        <v>718</v>
      </c>
      <c r="F532" s="46"/>
      <c r="G532" s="76" t="s">
        <v>908</v>
      </c>
      <c r="H532" s="48" t="s">
        <v>1094</v>
      </c>
      <c r="I532" s="48"/>
      <c r="J532" s="84"/>
      <c r="K532" s="85"/>
      <c r="L532" s="47"/>
      <c r="M532" s="3">
        <v>0.2</v>
      </c>
      <c r="N532" s="3">
        <f>9.55-6.65</f>
        <v>2.9000000000000004</v>
      </c>
      <c r="O532" s="22">
        <v>0.24</v>
      </c>
      <c r="P532" s="23">
        <v>2</v>
      </c>
      <c r="Q532" s="3"/>
      <c r="R532" s="3"/>
      <c r="S532" s="3"/>
      <c r="T532" s="3"/>
      <c r="U532" s="3"/>
      <c r="V532" s="23"/>
      <c r="W532" s="3"/>
      <c r="X532" s="3"/>
      <c r="Y532" s="17"/>
      <c r="Z532" s="17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12">
        <f t="shared" si="728"/>
        <v>0.58000000000000007</v>
      </c>
      <c r="AL532" s="12">
        <f t="shared" si="729"/>
        <v>1.1600000000000001</v>
      </c>
      <c r="AM532" s="12">
        <f t="shared" si="730"/>
        <v>0.13920000000000002</v>
      </c>
      <c r="AN532" s="12">
        <f t="shared" si="731"/>
        <v>0.27840000000000004</v>
      </c>
      <c r="AO532" s="12" t="str">
        <f t="shared" si="732"/>
        <v/>
      </c>
      <c r="AP532" s="12">
        <f t="shared" si="733"/>
        <v>0.4</v>
      </c>
      <c r="AQ532" s="12" t="str">
        <f t="shared" si="734"/>
        <v/>
      </c>
      <c r="AR532" s="12" t="str">
        <f t="shared" si="735"/>
        <v/>
      </c>
      <c r="AS532" s="12" t="str">
        <f t="shared" si="736"/>
        <v/>
      </c>
      <c r="AT532" s="12" t="str">
        <f t="shared" si="737"/>
        <v/>
      </c>
      <c r="AU532" s="12" t="str">
        <f t="shared" si="727"/>
        <v/>
      </c>
      <c r="AV532" s="17"/>
    </row>
    <row r="533" spans="1:48" x14ac:dyDescent="0.25">
      <c r="A533" s="43" t="s">
        <v>374</v>
      </c>
      <c r="B533" s="52" t="s">
        <v>520</v>
      </c>
      <c r="C533" s="44"/>
      <c r="D533" s="43"/>
      <c r="E533" s="52" t="s">
        <v>524</v>
      </c>
      <c r="F533" s="46"/>
      <c r="G533" s="76" t="s">
        <v>909</v>
      </c>
      <c r="H533" s="48" t="s">
        <v>1097</v>
      </c>
      <c r="I533" s="48"/>
      <c r="J533" s="84" t="s">
        <v>1132</v>
      </c>
      <c r="K533" s="85"/>
      <c r="L533" s="47"/>
      <c r="M533" s="3">
        <f>3.8+0.2</f>
        <v>4</v>
      </c>
      <c r="N533" s="3">
        <f t="shared" ref="N533:N596" si="738">9.55-6.65</f>
        <v>2.9000000000000004</v>
      </c>
      <c r="O533" s="22">
        <v>0.15</v>
      </c>
      <c r="P533" s="23">
        <v>1</v>
      </c>
      <c r="Q533" s="3"/>
      <c r="R533" s="3"/>
      <c r="S533" s="3"/>
      <c r="T533" s="3"/>
      <c r="U533" s="3"/>
      <c r="V533" s="23"/>
      <c r="W533" s="3"/>
      <c r="X533" s="3"/>
      <c r="Y533" s="17"/>
      <c r="Z533" s="17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12">
        <f t="shared" si="728"/>
        <v>11.600000000000001</v>
      </c>
      <c r="AL533" s="12">
        <f t="shared" si="729"/>
        <v>11.600000000000001</v>
      </c>
      <c r="AM533" s="12">
        <f t="shared" si="730"/>
        <v>1.7400000000000002</v>
      </c>
      <c r="AN533" s="12">
        <f t="shared" si="731"/>
        <v>1.7400000000000002</v>
      </c>
      <c r="AO533" s="12" t="str">
        <f t="shared" si="732"/>
        <v/>
      </c>
      <c r="AP533" s="12">
        <f t="shared" si="733"/>
        <v>4</v>
      </c>
      <c r="AQ533" s="12" t="str">
        <f t="shared" si="734"/>
        <v/>
      </c>
      <c r="AR533" s="12" t="str">
        <f t="shared" si="735"/>
        <v/>
      </c>
      <c r="AS533" s="12" t="str">
        <f t="shared" si="736"/>
        <v/>
      </c>
      <c r="AT533" s="12" t="str">
        <f t="shared" si="737"/>
        <v/>
      </c>
      <c r="AU533" s="12" t="str">
        <f t="shared" si="727"/>
        <v/>
      </c>
      <c r="AV533" s="17"/>
    </row>
    <row r="534" spans="1:48" x14ac:dyDescent="0.25">
      <c r="A534" s="43" t="s">
        <v>374</v>
      </c>
      <c r="B534" s="52" t="s">
        <v>520</v>
      </c>
      <c r="C534" s="44"/>
      <c r="D534" s="43"/>
      <c r="E534" s="52" t="s">
        <v>521</v>
      </c>
      <c r="F534" s="46"/>
      <c r="G534" s="76" t="s">
        <v>910</v>
      </c>
      <c r="H534" s="48" t="s">
        <v>1097</v>
      </c>
      <c r="I534" s="48"/>
      <c r="J534" s="84" t="s">
        <v>1125</v>
      </c>
      <c r="K534" s="85"/>
      <c r="L534" s="47"/>
      <c r="M534" s="3">
        <v>2.8</v>
      </c>
      <c r="N534" s="3">
        <f t="shared" si="738"/>
        <v>2.9000000000000004</v>
      </c>
      <c r="O534" s="22">
        <v>0.15</v>
      </c>
      <c r="P534" s="23">
        <v>1</v>
      </c>
      <c r="Q534" s="3"/>
      <c r="R534" s="3"/>
      <c r="S534" s="3"/>
      <c r="T534" s="3"/>
      <c r="U534" s="3"/>
      <c r="V534" s="23"/>
      <c r="W534" s="3"/>
      <c r="X534" s="3"/>
      <c r="Y534" s="17"/>
      <c r="Z534" s="17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12">
        <f t="shared" si="728"/>
        <v>8.120000000000001</v>
      </c>
      <c r="AL534" s="12">
        <f t="shared" si="729"/>
        <v>8.120000000000001</v>
      </c>
      <c r="AM534" s="12">
        <f t="shared" si="730"/>
        <v>1.2180000000000002</v>
      </c>
      <c r="AN534" s="12">
        <f t="shared" si="731"/>
        <v>1.2180000000000002</v>
      </c>
      <c r="AO534" s="12" t="str">
        <f t="shared" si="732"/>
        <v/>
      </c>
      <c r="AP534" s="12">
        <f t="shared" si="733"/>
        <v>2.8</v>
      </c>
      <c r="AQ534" s="12" t="str">
        <f t="shared" si="734"/>
        <v/>
      </c>
      <c r="AR534" s="12" t="str">
        <f t="shared" si="735"/>
        <v/>
      </c>
      <c r="AS534" s="12" t="str">
        <f t="shared" si="736"/>
        <v/>
      </c>
      <c r="AT534" s="12" t="str">
        <f t="shared" si="737"/>
        <v/>
      </c>
      <c r="AU534" s="12" t="str">
        <f t="shared" si="727"/>
        <v/>
      </c>
      <c r="AV534" s="17"/>
    </row>
    <row r="535" spans="1:48" x14ac:dyDescent="0.25">
      <c r="A535" s="43" t="s">
        <v>374</v>
      </c>
      <c r="B535" s="52" t="s">
        <v>524</v>
      </c>
      <c r="C535" s="44"/>
      <c r="D535" s="43"/>
      <c r="E535" s="52" t="s">
        <v>523</v>
      </c>
      <c r="F535" s="46"/>
      <c r="G535" s="76" t="s">
        <v>911</v>
      </c>
      <c r="H535" s="48" t="s">
        <v>1092</v>
      </c>
      <c r="I535" s="48"/>
      <c r="J535" s="84" t="s">
        <v>1131</v>
      </c>
      <c r="K535" s="85"/>
      <c r="L535" s="47" t="s">
        <v>567</v>
      </c>
      <c r="M535" s="3">
        <v>2.3199999999999998</v>
      </c>
      <c r="N535" s="3">
        <f t="shared" si="738"/>
        <v>2.9000000000000004</v>
      </c>
      <c r="O535" s="22">
        <v>0.2</v>
      </c>
      <c r="P535" s="23">
        <v>1</v>
      </c>
      <c r="Q535" s="3"/>
      <c r="R535" s="3"/>
      <c r="S535" s="3"/>
      <c r="T535" s="3"/>
      <c r="U535" s="3"/>
      <c r="V535" s="23"/>
      <c r="W535" s="3"/>
      <c r="X535" s="3"/>
      <c r="Y535" s="17"/>
      <c r="Z535" s="17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12">
        <f t="shared" si="728"/>
        <v>6.7280000000000006</v>
      </c>
      <c r="AL535" s="12">
        <f t="shared" si="729"/>
        <v>6.7280000000000006</v>
      </c>
      <c r="AM535" s="12">
        <f t="shared" si="730"/>
        <v>1.3456000000000001</v>
      </c>
      <c r="AN535" s="12">
        <f t="shared" si="731"/>
        <v>1.3456000000000001</v>
      </c>
      <c r="AO535" s="12" t="str">
        <f t="shared" si="732"/>
        <v/>
      </c>
      <c r="AP535" s="12">
        <f t="shared" si="733"/>
        <v>2.3199999999999998</v>
      </c>
      <c r="AQ535" s="12" t="str">
        <f t="shared" si="734"/>
        <v/>
      </c>
      <c r="AR535" s="12" t="str">
        <f t="shared" si="735"/>
        <v/>
      </c>
      <c r="AS535" s="12" t="str">
        <f t="shared" si="736"/>
        <v/>
      </c>
      <c r="AT535" s="12" t="str">
        <f t="shared" si="737"/>
        <v/>
      </c>
      <c r="AU535" s="12" t="str">
        <f t="shared" si="727"/>
        <v/>
      </c>
      <c r="AV535" s="17"/>
    </row>
    <row r="536" spans="1:48" x14ac:dyDescent="0.25">
      <c r="A536" s="43" t="s">
        <v>374</v>
      </c>
      <c r="B536" s="52" t="s">
        <v>524</v>
      </c>
      <c r="C536" s="44"/>
      <c r="D536" s="43"/>
      <c r="E536" s="52" t="s">
        <v>521</v>
      </c>
      <c r="F536" s="46"/>
      <c r="G536" s="76" t="s">
        <v>1118</v>
      </c>
      <c r="H536" s="48" t="s">
        <v>1103</v>
      </c>
      <c r="I536" s="48"/>
      <c r="J536" s="84" t="s">
        <v>1145</v>
      </c>
      <c r="K536" s="85"/>
      <c r="L536" s="47" t="s">
        <v>567</v>
      </c>
      <c r="M536" s="3">
        <v>1.55</v>
      </c>
      <c r="N536" s="3">
        <f t="shared" si="738"/>
        <v>2.9000000000000004</v>
      </c>
      <c r="O536" s="22">
        <v>0.2</v>
      </c>
      <c r="P536" s="23">
        <v>1</v>
      </c>
      <c r="Q536" s="3"/>
      <c r="R536" s="3"/>
      <c r="S536" s="3"/>
      <c r="T536" s="3"/>
      <c r="U536" s="3"/>
      <c r="V536" s="23"/>
      <c r="W536" s="3"/>
      <c r="X536" s="3"/>
      <c r="Y536" s="17"/>
      <c r="Z536" s="17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12">
        <f t="shared" si="728"/>
        <v>4.495000000000001</v>
      </c>
      <c r="AL536" s="12">
        <f t="shared" si="729"/>
        <v>4.495000000000001</v>
      </c>
      <c r="AM536" s="12">
        <f t="shared" si="730"/>
        <v>0.89900000000000024</v>
      </c>
      <c r="AN536" s="12">
        <f t="shared" si="731"/>
        <v>0.89900000000000024</v>
      </c>
      <c r="AO536" s="12" t="str">
        <f t="shared" si="732"/>
        <v/>
      </c>
      <c r="AP536" s="12">
        <f t="shared" si="733"/>
        <v>1.55</v>
      </c>
      <c r="AQ536" s="12" t="str">
        <f t="shared" si="734"/>
        <v/>
      </c>
      <c r="AR536" s="12" t="str">
        <f t="shared" si="735"/>
        <v/>
      </c>
      <c r="AS536" s="12" t="str">
        <f t="shared" si="736"/>
        <v/>
      </c>
      <c r="AT536" s="12" t="str">
        <f t="shared" si="737"/>
        <v/>
      </c>
      <c r="AU536" s="12" t="str">
        <f t="shared" si="727"/>
        <v/>
      </c>
      <c r="AV536" s="17"/>
    </row>
    <row r="537" spans="1:48" x14ac:dyDescent="0.25">
      <c r="A537" s="43" t="s">
        <v>374</v>
      </c>
      <c r="B537" s="52" t="s">
        <v>523</v>
      </c>
      <c r="C537" s="44"/>
      <c r="D537" s="43"/>
      <c r="E537" s="52" t="s">
        <v>521</v>
      </c>
      <c r="F537" s="46"/>
      <c r="G537" s="76" t="s">
        <v>912</v>
      </c>
      <c r="H537" s="48" t="s">
        <v>1103</v>
      </c>
      <c r="I537" s="48"/>
      <c r="J537" s="84" t="s">
        <v>1145</v>
      </c>
      <c r="K537" s="85"/>
      <c r="L537" s="47"/>
      <c r="M537" s="3">
        <f>1.275+0.475+0.15</f>
        <v>1.9</v>
      </c>
      <c r="N537" s="3">
        <f t="shared" si="738"/>
        <v>2.9000000000000004</v>
      </c>
      <c r="O537" s="22">
        <v>0.2</v>
      </c>
      <c r="P537" s="23">
        <v>1</v>
      </c>
      <c r="Q537" s="3"/>
      <c r="R537" s="3"/>
      <c r="S537" s="3"/>
      <c r="T537" s="3"/>
      <c r="U537" s="3"/>
      <c r="V537" s="23"/>
      <c r="W537" s="3"/>
      <c r="X537" s="3"/>
      <c r="Y537" s="17"/>
      <c r="Z537" s="17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12">
        <f t="shared" si="728"/>
        <v>5.5100000000000007</v>
      </c>
      <c r="AL537" s="12">
        <f t="shared" si="729"/>
        <v>5.5100000000000007</v>
      </c>
      <c r="AM537" s="12">
        <f t="shared" si="730"/>
        <v>1.1020000000000001</v>
      </c>
      <c r="AN537" s="12">
        <f t="shared" si="731"/>
        <v>1.1020000000000001</v>
      </c>
      <c r="AO537" s="12" t="str">
        <f t="shared" si="732"/>
        <v/>
      </c>
      <c r="AP537" s="12">
        <f t="shared" si="733"/>
        <v>1.9</v>
      </c>
      <c r="AQ537" s="12" t="str">
        <f t="shared" si="734"/>
        <v/>
      </c>
      <c r="AR537" s="12" t="str">
        <f t="shared" si="735"/>
        <v/>
      </c>
      <c r="AS537" s="12" t="str">
        <f t="shared" si="736"/>
        <v/>
      </c>
      <c r="AT537" s="12" t="str">
        <f t="shared" si="737"/>
        <v/>
      </c>
      <c r="AU537" s="12" t="str">
        <f t="shared" si="727"/>
        <v/>
      </c>
      <c r="AV537" s="17"/>
    </row>
    <row r="538" spans="1:48" x14ac:dyDescent="0.25">
      <c r="A538" s="43" t="s">
        <v>374</v>
      </c>
      <c r="B538" s="52" t="s">
        <v>523</v>
      </c>
      <c r="C538" s="44"/>
      <c r="D538" s="43"/>
      <c r="E538" s="52" t="s">
        <v>719</v>
      </c>
      <c r="F538" s="46"/>
      <c r="G538" s="76" t="s">
        <v>913</v>
      </c>
      <c r="H538" s="48" t="s">
        <v>1097</v>
      </c>
      <c r="I538" s="48"/>
      <c r="J538" s="84" t="s">
        <v>1131</v>
      </c>
      <c r="K538" s="85"/>
      <c r="L538" s="47"/>
      <c r="M538" s="3">
        <f>2.31-0.75</f>
        <v>1.56</v>
      </c>
      <c r="N538" s="3">
        <f t="shared" si="738"/>
        <v>2.9000000000000004</v>
      </c>
      <c r="O538" s="22">
        <v>0.15</v>
      </c>
      <c r="P538" s="23">
        <v>1</v>
      </c>
      <c r="Q538" s="3"/>
      <c r="R538" s="3"/>
      <c r="S538" s="3"/>
      <c r="T538" s="3"/>
      <c r="U538" s="3"/>
      <c r="V538" s="23"/>
      <c r="W538" s="3"/>
      <c r="X538" s="3"/>
      <c r="Y538" s="17"/>
      <c r="Z538" s="17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12">
        <f t="shared" si="728"/>
        <v>4.5240000000000009</v>
      </c>
      <c r="AL538" s="12">
        <f t="shared" si="729"/>
        <v>4.5240000000000009</v>
      </c>
      <c r="AM538" s="12">
        <f t="shared" si="730"/>
        <v>0.67860000000000009</v>
      </c>
      <c r="AN538" s="12">
        <f t="shared" si="731"/>
        <v>0.67860000000000009</v>
      </c>
      <c r="AO538" s="12" t="str">
        <f t="shared" si="732"/>
        <v/>
      </c>
      <c r="AP538" s="12">
        <f t="shared" si="733"/>
        <v>1.56</v>
      </c>
      <c r="AQ538" s="12" t="str">
        <f t="shared" si="734"/>
        <v/>
      </c>
      <c r="AR538" s="12" t="str">
        <f t="shared" si="735"/>
        <v/>
      </c>
      <c r="AS538" s="12" t="str">
        <f t="shared" si="736"/>
        <v/>
      </c>
      <c r="AT538" s="12" t="str">
        <f t="shared" si="737"/>
        <v/>
      </c>
      <c r="AU538" s="12" t="str">
        <f t="shared" si="727"/>
        <v/>
      </c>
      <c r="AV538" s="17"/>
    </row>
    <row r="539" spans="1:48" x14ac:dyDescent="0.25">
      <c r="A539" s="43" t="s">
        <v>374</v>
      </c>
      <c r="B539" s="52" t="s">
        <v>523</v>
      </c>
      <c r="C539" s="44"/>
      <c r="D539" s="43"/>
      <c r="E539" s="52" t="s">
        <v>719</v>
      </c>
      <c r="F539" s="46"/>
      <c r="G539" s="76" t="s">
        <v>1143</v>
      </c>
      <c r="H539" s="48" t="s">
        <v>1097</v>
      </c>
      <c r="I539" s="48"/>
      <c r="J539" s="84" t="s">
        <v>1132</v>
      </c>
      <c r="K539" s="85"/>
      <c r="L539" s="47"/>
      <c r="M539" s="3">
        <v>0.75</v>
      </c>
      <c r="N539" s="3">
        <f t="shared" si="738"/>
        <v>2.9000000000000004</v>
      </c>
      <c r="O539" s="22">
        <v>0.15</v>
      </c>
      <c r="P539" s="23">
        <v>1</v>
      </c>
      <c r="Q539" s="3"/>
      <c r="R539" s="3"/>
      <c r="S539" s="3"/>
      <c r="T539" s="3"/>
      <c r="U539" s="3"/>
      <c r="V539" s="23"/>
      <c r="W539" s="3"/>
      <c r="X539" s="3"/>
      <c r="Y539" s="17"/>
      <c r="Z539" s="17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12">
        <f t="shared" ref="AK539" si="739">IF(((M539*N539)-Q539-R539-S539+T539+U539)=0,"",((M539*N539)-Q539-R539-S539+T539+U539))</f>
        <v>2.1750000000000003</v>
      </c>
      <c r="AL539" s="12">
        <f t="shared" ref="AL539" si="740">IF(PRODUCT(P539,AK539)=0,"",P539*AK539)</f>
        <v>2.1750000000000003</v>
      </c>
      <c r="AM539" s="12">
        <f t="shared" ref="AM539" si="741">IF(PRODUCT(AK539,O539)=0,"",AK539*O539)</f>
        <v>0.32625000000000004</v>
      </c>
      <c r="AN539" s="12">
        <f t="shared" ref="AN539" si="742">IF(PRODUCT(AM539,P539)=0,"",AM539*P539)</f>
        <v>0.32625000000000004</v>
      </c>
      <c r="AO539" s="12" t="str">
        <f t="shared" ref="AO539" si="743">IF(N539*V539-W539+X539=0,"",N539*V539-W539+X539)</f>
        <v/>
      </c>
      <c r="AP539" s="12">
        <f t="shared" ref="AP539" si="744">IF(PRODUCT(M539,P539)=0,"",M539*P539)</f>
        <v>0.75</v>
      </c>
      <c r="AQ539" s="12" t="str">
        <f t="shared" ref="AQ539" si="745">IF(AA539+AB539=0,"",AA539+AB539)</f>
        <v/>
      </c>
      <c r="AR539" s="12" t="str">
        <f t="shared" ref="AR539" si="746">IF(AC539+AD539=0,"",AC539+AD539)</f>
        <v/>
      </c>
      <c r="AS539" s="12" t="str">
        <f t="shared" ref="AS539" si="747">IF((AE539*AH539*AI539)*P539=0,"",(AE539*AH539*AI539)*P539)</f>
        <v/>
      </c>
      <c r="AT539" s="12" t="str">
        <f t="shared" ref="AT539" si="748">IF(AJ539*P539=0,"",AJ539*P539)</f>
        <v/>
      </c>
      <c r="AU539" s="12" t="str">
        <f t="shared" ref="AU539" si="749">IF(OR(H539="s1",H539="s2",H539="s3",H539="s4",H539="s4*",H539="s5",H539="s12",H539="s16"),IF(M539&gt;=4,M539,""),"")</f>
        <v/>
      </c>
      <c r="AV539" s="17"/>
    </row>
    <row r="540" spans="1:48" x14ac:dyDescent="0.25">
      <c r="A540" s="43" t="s">
        <v>374</v>
      </c>
      <c r="B540" s="52" t="s">
        <v>521</v>
      </c>
      <c r="C540" s="44"/>
      <c r="D540" s="43"/>
      <c r="E540" s="52" t="s">
        <v>522</v>
      </c>
      <c r="F540" s="46"/>
      <c r="G540" s="76" t="s">
        <v>914</v>
      </c>
      <c r="H540" s="48" t="s">
        <v>1093</v>
      </c>
      <c r="I540" s="48"/>
      <c r="J540" s="84" t="s">
        <v>1132</v>
      </c>
      <c r="K540" s="85"/>
      <c r="L540" s="47"/>
      <c r="M540" s="3">
        <v>1</v>
      </c>
      <c r="N540" s="3">
        <f t="shared" si="738"/>
        <v>2.9000000000000004</v>
      </c>
      <c r="O540" s="22">
        <v>0.1</v>
      </c>
      <c r="P540" s="23">
        <v>1</v>
      </c>
      <c r="Q540" s="3"/>
      <c r="R540" s="3"/>
      <c r="S540" s="3"/>
      <c r="T540" s="3"/>
      <c r="U540" s="3"/>
      <c r="V540" s="23"/>
      <c r="W540" s="3"/>
      <c r="X540" s="3"/>
      <c r="Y540" s="17"/>
      <c r="Z540" s="17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12">
        <f t="shared" si="728"/>
        <v>2.9000000000000004</v>
      </c>
      <c r="AL540" s="12">
        <f t="shared" si="729"/>
        <v>2.9000000000000004</v>
      </c>
      <c r="AM540" s="12">
        <f t="shared" si="730"/>
        <v>0.29000000000000004</v>
      </c>
      <c r="AN540" s="12">
        <f t="shared" si="731"/>
        <v>0.29000000000000004</v>
      </c>
      <c r="AO540" s="12" t="str">
        <f t="shared" si="732"/>
        <v/>
      </c>
      <c r="AP540" s="12">
        <f t="shared" si="733"/>
        <v>1</v>
      </c>
      <c r="AQ540" s="12" t="str">
        <f t="shared" si="734"/>
        <v/>
      </c>
      <c r="AR540" s="12" t="str">
        <f t="shared" si="735"/>
        <v/>
      </c>
      <c r="AS540" s="12" t="str">
        <f t="shared" si="736"/>
        <v/>
      </c>
      <c r="AT540" s="12" t="str">
        <f t="shared" si="737"/>
        <v/>
      </c>
      <c r="AU540" s="12" t="str">
        <f t="shared" si="727"/>
        <v/>
      </c>
      <c r="AV540" s="17"/>
    </row>
    <row r="541" spans="1:48" x14ac:dyDescent="0.25">
      <c r="A541" s="43" t="s">
        <v>374</v>
      </c>
      <c r="B541" s="52" t="s">
        <v>525</v>
      </c>
      <c r="C541" s="44"/>
      <c r="D541" s="43"/>
      <c r="E541" s="52" t="s">
        <v>715</v>
      </c>
      <c r="F541" s="46"/>
      <c r="G541" s="76" t="s">
        <v>915</v>
      </c>
      <c r="H541" s="48" t="s">
        <v>1104</v>
      </c>
      <c r="I541" s="48"/>
      <c r="J541" s="84" t="s">
        <v>1125</v>
      </c>
      <c r="K541" s="85"/>
      <c r="L541" s="47" t="s">
        <v>622</v>
      </c>
      <c r="M541" s="3">
        <v>4.9850000000000003</v>
      </c>
      <c r="N541" s="3">
        <f t="shared" si="738"/>
        <v>2.9000000000000004</v>
      </c>
      <c r="O541" s="22">
        <v>0.155</v>
      </c>
      <c r="P541" s="23">
        <v>1</v>
      </c>
      <c r="Q541" s="3"/>
      <c r="R541" s="3"/>
      <c r="S541" s="3"/>
      <c r="T541" s="3"/>
      <c r="U541" s="3"/>
      <c r="V541" s="23"/>
      <c r="W541" s="3"/>
      <c r="X541" s="3"/>
      <c r="Y541" s="17"/>
      <c r="Z541" s="17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12">
        <f t="shared" si="728"/>
        <v>14.456500000000002</v>
      </c>
      <c r="AL541" s="12">
        <f t="shared" si="729"/>
        <v>14.456500000000002</v>
      </c>
      <c r="AM541" s="12">
        <f t="shared" si="730"/>
        <v>2.2407575000000004</v>
      </c>
      <c r="AN541" s="12">
        <f t="shared" si="731"/>
        <v>2.2407575000000004</v>
      </c>
      <c r="AO541" s="12" t="str">
        <f t="shared" si="732"/>
        <v/>
      </c>
      <c r="AP541" s="12">
        <f t="shared" si="733"/>
        <v>4.9850000000000003</v>
      </c>
      <c r="AQ541" s="12" t="str">
        <f t="shared" si="734"/>
        <v/>
      </c>
      <c r="AR541" s="12" t="str">
        <f t="shared" si="735"/>
        <v/>
      </c>
      <c r="AS541" s="12" t="str">
        <f t="shared" si="736"/>
        <v/>
      </c>
      <c r="AT541" s="12" t="str">
        <f t="shared" si="737"/>
        <v/>
      </c>
      <c r="AU541" s="12" t="str">
        <f t="shared" si="727"/>
        <v/>
      </c>
      <c r="AV541" s="17"/>
    </row>
    <row r="542" spans="1:48" x14ac:dyDescent="0.25">
      <c r="A542" s="43" t="s">
        <v>374</v>
      </c>
      <c r="B542" s="52" t="s">
        <v>715</v>
      </c>
      <c r="C542" s="44"/>
      <c r="D542" s="43"/>
      <c r="E542" s="52" t="s">
        <v>527</v>
      </c>
      <c r="F542" s="46"/>
      <c r="G542" s="76" t="s">
        <v>916</v>
      </c>
      <c r="H542" s="48" t="s">
        <v>1104</v>
      </c>
      <c r="I542" s="48"/>
      <c r="J542" s="84" t="s">
        <v>1125</v>
      </c>
      <c r="K542" s="85"/>
      <c r="L542" s="47" t="s">
        <v>622</v>
      </c>
      <c r="M542" s="3">
        <f>4.985+1.76</f>
        <v>6.7450000000000001</v>
      </c>
      <c r="N542" s="3">
        <f t="shared" si="738"/>
        <v>2.9000000000000004</v>
      </c>
      <c r="O542" s="22">
        <v>0.155</v>
      </c>
      <c r="P542" s="23">
        <v>1</v>
      </c>
      <c r="Q542" s="3"/>
      <c r="R542" s="3"/>
      <c r="S542" s="3"/>
      <c r="T542" s="3"/>
      <c r="U542" s="3"/>
      <c r="V542" s="23"/>
      <c r="W542" s="3"/>
      <c r="X542" s="3"/>
      <c r="Y542" s="17"/>
      <c r="Z542" s="17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12">
        <f t="shared" si="728"/>
        <v>19.560500000000001</v>
      </c>
      <c r="AL542" s="12">
        <f t="shared" si="729"/>
        <v>19.560500000000001</v>
      </c>
      <c r="AM542" s="12">
        <f t="shared" si="730"/>
        <v>3.0318775000000002</v>
      </c>
      <c r="AN542" s="12">
        <f t="shared" si="731"/>
        <v>3.0318775000000002</v>
      </c>
      <c r="AO542" s="12" t="str">
        <f t="shared" si="732"/>
        <v/>
      </c>
      <c r="AP542" s="12">
        <f t="shared" si="733"/>
        <v>6.7450000000000001</v>
      </c>
      <c r="AQ542" s="12" t="str">
        <f t="shared" si="734"/>
        <v/>
      </c>
      <c r="AR542" s="12" t="str">
        <f t="shared" si="735"/>
        <v/>
      </c>
      <c r="AS542" s="12" t="str">
        <f t="shared" si="736"/>
        <v/>
      </c>
      <c r="AT542" s="12" t="str">
        <f t="shared" si="737"/>
        <v/>
      </c>
      <c r="AU542" s="12" t="str">
        <f t="shared" si="727"/>
        <v/>
      </c>
      <c r="AV542" s="17"/>
    </row>
    <row r="543" spans="1:48" x14ac:dyDescent="0.25">
      <c r="A543" s="43" t="s">
        <v>374</v>
      </c>
      <c r="B543" s="52" t="s">
        <v>527</v>
      </c>
      <c r="C543" s="44"/>
      <c r="D543" s="43"/>
      <c r="E543" s="52" t="s">
        <v>529</v>
      </c>
      <c r="F543" s="46"/>
      <c r="G543" s="76" t="s">
        <v>917</v>
      </c>
      <c r="H543" s="48" t="s">
        <v>1104</v>
      </c>
      <c r="I543" s="48"/>
      <c r="J543" s="84" t="s">
        <v>1125</v>
      </c>
      <c r="K543" s="85"/>
      <c r="L543" s="47" t="s">
        <v>622</v>
      </c>
      <c r="M543" s="3">
        <v>4.9850000000000003</v>
      </c>
      <c r="N543" s="3">
        <f t="shared" si="738"/>
        <v>2.9000000000000004</v>
      </c>
      <c r="O543" s="22">
        <v>0.155</v>
      </c>
      <c r="P543" s="23">
        <v>1</v>
      </c>
      <c r="Q543" s="3"/>
      <c r="R543" s="3"/>
      <c r="S543" s="3"/>
      <c r="T543" s="3"/>
      <c r="U543" s="3"/>
      <c r="V543" s="23"/>
      <c r="W543" s="3"/>
      <c r="X543" s="3"/>
      <c r="Y543" s="17"/>
      <c r="Z543" s="17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12">
        <f t="shared" si="728"/>
        <v>14.456500000000002</v>
      </c>
      <c r="AL543" s="12">
        <f t="shared" si="729"/>
        <v>14.456500000000002</v>
      </c>
      <c r="AM543" s="12">
        <f t="shared" si="730"/>
        <v>2.2407575000000004</v>
      </c>
      <c r="AN543" s="12">
        <f t="shared" si="731"/>
        <v>2.2407575000000004</v>
      </c>
      <c r="AO543" s="12" t="str">
        <f t="shared" si="732"/>
        <v/>
      </c>
      <c r="AP543" s="12">
        <f t="shared" si="733"/>
        <v>4.9850000000000003</v>
      </c>
      <c r="AQ543" s="12" t="str">
        <f t="shared" si="734"/>
        <v/>
      </c>
      <c r="AR543" s="12" t="str">
        <f t="shared" si="735"/>
        <v/>
      </c>
      <c r="AS543" s="12" t="str">
        <f t="shared" si="736"/>
        <v/>
      </c>
      <c r="AT543" s="12" t="str">
        <f t="shared" si="737"/>
        <v/>
      </c>
      <c r="AU543" s="12" t="str">
        <f t="shared" si="727"/>
        <v/>
      </c>
      <c r="AV543" s="17"/>
    </row>
    <row r="544" spans="1:48" x14ac:dyDescent="0.25">
      <c r="A544" s="43" t="s">
        <v>374</v>
      </c>
      <c r="B544" s="52" t="s">
        <v>529</v>
      </c>
      <c r="C544" s="44"/>
      <c r="D544" s="43"/>
      <c r="E544" s="52" t="s">
        <v>531</v>
      </c>
      <c r="F544" s="46"/>
      <c r="G544" s="76" t="s">
        <v>918</v>
      </c>
      <c r="H544" s="48" t="s">
        <v>1104</v>
      </c>
      <c r="I544" s="48"/>
      <c r="J544" s="84" t="s">
        <v>1125</v>
      </c>
      <c r="K544" s="85"/>
      <c r="L544" s="47" t="s">
        <v>622</v>
      </c>
      <c r="M544" s="3">
        <f>4.985+1.76</f>
        <v>6.7450000000000001</v>
      </c>
      <c r="N544" s="3">
        <f t="shared" si="738"/>
        <v>2.9000000000000004</v>
      </c>
      <c r="O544" s="22">
        <v>0.155</v>
      </c>
      <c r="P544" s="23">
        <v>1</v>
      </c>
      <c r="Q544" s="3"/>
      <c r="R544" s="3"/>
      <c r="S544" s="3"/>
      <c r="T544" s="3"/>
      <c r="U544" s="3"/>
      <c r="V544" s="23"/>
      <c r="W544" s="3"/>
      <c r="X544" s="3"/>
      <c r="Y544" s="17"/>
      <c r="Z544" s="17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12">
        <f t="shared" si="728"/>
        <v>19.560500000000001</v>
      </c>
      <c r="AL544" s="12">
        <f t="shared" si="729"/>
        <v>19.560500000000001</v>
      </c>
      <c r="AM544" s="12">
        <f t="shared" si="730"/>
        <v>3.0318775000000002</v>
      </c>
      <c r="AN544" s="12">
        <f t="shared" si="731"/>
        <v>3.0318775000000002</v>
      </c>
      <c r="AO544" s="12" t="str">
        <f t="shared" si="732"/>
        <v/>
      </c>
      <c r="AP544" s="12">
        <f t="shared" si="733"/>
        <v>6.7450000000000001</v>
      </c>
      <c r="AQ544" s="12" t="str">
        <f t="shared" si="734"/>
        <v/>
      </c>
      <c r="AR544" s="12" t="str">
        <f t="shared" si="735"/>
        <v/>
      </c>
      <c r="AS544" s="12" t="str">
        <f t="shared" si="736"/>
        <v/>
      </c>
      <c r="AT544" s="12" t="str">
        <f t="shared" si="737"/>
        <v/>
      </c>
      <c r="AU544" s="12" t="str">
        <f t="shared" si="727"/>
        <v/>
      </c>
      <c r="AV544" s="17"/>
    </row>
    <row r="545" spans="1:48" x14ac:dyDescent="0.25">
      <c r="A545" s="43" t="s">
        <v>374</v>
      </c>
      <c r="B545" s="52" t="s">
        <v>531</v>
      </c>
      <c r="C545" s="44"/>
      <c r="D545" s="43"/>
      <c r="E545" s="52" t="s">
        <v>620</v>
      </c>
      <c r="F545" s="46"/>
      <c r="G545" s="76" t="s">
        <v>919</v>
      </c>
      <c r="H545" s="48" t="s">
        <v>1104</v>
      </c>
      <c r="I545" s="48"/>
      <c r="J545" s="84" t="s">
        <v>1125</v>
      </c>
      <c r="K545" s="85"/>
      <c r="L545" s="47" t="s">
        <v>622</v>
      </c>
      <c r="M545" s="3">
        <v>2.14</v>
      </c>
      <c r="N545" s="3">
        <f t="shared" si="738"/>
        <v>2.9000000000000004</v>
      </c>
      <c r="O545" s="22">
        <v>0.155</v>
      </c>
      <c r="P545" s="23">
        <v>1</v>
      </c>
      <c r="Q545" s="3"/>
      <c r="R545" s="3"/>
      <c r="S545" s="3"/>
      <c r="T545" s="3"/>
      <c r="U545" s="3"/>
      <c r="V545" s="23"/>
      <c r="W545" s="3"/>
      <c r="X545" s="3"/>
      <c r="Y545" s="17"/>
      <c r="Z545" s="17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12">
        <f t="shared" si="728"/>
        <v>6.2060000000000013</v>
      </c>
      <c r="AL545" s="12">
        <f t="shared" si="729"/>
        <v>6.2060000000000013</v>
      </c>
      <c r="AM545" s="12">
        <f t="shared" si="730"/>
        <v>0.96193000000000017</v>
      </c>
      <c r="AN545" s="12">
        <f t="shared" si="731"/>
        <v>0.96193000000000017</v>
      </c>
      <c r="AO545" s="12" t="str">
        <f t="shared" si="732"/>
        <v/>
      </c>
      <c r="AP545" s="12">
        <f t="shared" si="733"/>
        <v>2.14</v>
      </c>
      <c r="AQ545" s="12" t="str">
        <f t="shared" si="734"/>
        <v/>
      </c>
      <c r="AR545" s="12" t="str">
        <f t="shared" si="735"/>
        <v/>
      </c>
      <c r="AS545" s="12" t="str">
        <f t="shared" si="736"/>
        <v/>
      </c>
      <c r="AT545" s="12" t="str">
        <f t="shared" si="737"/>
        <v/>
      </c>
      <c r="AU545" s="12" t="str">
        <f t="shared" si="727"/>
        <v/>
      </c>
      <c r="AV545" s="17"/>
    </row>
    <row r="546" spans="1:48" x14ac:dyDescent="0.25">
      <c r="A546" s="43" t="s">
        <v>374</v>
      </c>
      <c r="B546" s="52" t="s">
        <v>717</v>
      </c>
      <c r="C546" s="44"/>
      <c r="D546" s="43"/>
      <c r="E546" s="52" t="s">
        <v>623</v>
      </c>
      <c r="F546" s="46"/>
      <c r="G546" s="76" t="s">
        <v>920</v>
      </c>
      <c r="H546" s="48" t="s">
        <v>1104</v>
      </c>
      <c r="I546" s="48"/>
      <c r="J546" s="84" t="s">
        <v>1125</v>
      </c>
      <c r="K546" s="85"/>
      <c r="L546" s="47" t="s">
        <v>622</v>
      </c>
      <c r="M546" s="3">
        <f>4.985+0.985+0.775</f>
        <v>6.745000000000001</v>
      </c>
      <c r="N546" s="3">
        <f t="shared" si="738"/>
        <v>2.9000000000000004</v>
      </c>
      <c r="O546" s="22">
        <v>0.155</v>
      </c>
      <c r="P546" s="23">
        <v>1</v>
      </c>
      <c r="Q546" s="3"/>
      <c r="R546" s="3"/>
      <c r="S546" s="3"/>
      <c r="T546" s="3"/>
      <c r="U546" s="3"/>
      <c r="V546" s="23"/>
      <c r="W546" s="3"/>
      <c r="X546" s="3"/>
      <c r="Y546" s="17"/>
      <c r="Z546" s="17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12">
        <f t="shared" si="728"/>
        <v>19.560500000000005</v>
      </c>
      <c r="AL546" s="12">
        <f t="shared" si="729"/>
        <v>19.560500000000005</v>
      </c>
      <c r="AM546" s="12">
        <f t="shared" si="730"/>
        <v>3.0318775000000007</v>
      </c>
      <c r="AN546" s="12">
        <f t="shared" si="731"/>
        <v>3.0318775000000007</v>
      </c>
      <c r="AO546" s="12" t="str">
        <f t="shared" si="732"/>
        <v/>
      </c>
      <c r="AP546" s="12">
        <f t="shared" si="733"/>
        <v>6.745000000000001</v>
      </c>
      <c r="AQ546" s="12" t="str">
        <f t="shared" si="734"/>
        <v/>
      </c>
      <c r="AR546" s="12" t="str">
        <f t="shared" si="735"/>
        <v/>
      </c>
      <c r="AS546" s="12" t="str">
        <f t="shared" si="736"/>
        <v/>
      </c>
      <c r="AT546" s="12" t="str">
        <f t="shared" si="737"/>
        <v/>
      </c>
      <c r="AU546" s="12" t="str">
        <f t="shared" si="727"/>
        <v/>
      </c>
      <c r="AV546" s="17"/>
    </row>
    <row r="547" spans="1:48" x14ac:dyDescent="0.25">
      <c r="A547" s="43" t="s">
        <v>374</v>
      </c>
      <c r="B547" s="52" t="s">
        <v>623</v>
      </c>
      <c r="C547" s="44"/>
      <c r="D547" s="43"/>
      <c r="E547" s="52" t="s">
        <v>540</v>
      </c>
      <c r="F547" s="46"/>
      <c r="G547" s="76" t="s">
        <v>921</v>
      </c>
      <c r="H547" s="48" t="s">
        <v>1104</v>
      </c>
      <c r="I547" s="48"/>
      <c r="J547" s="84" t="s">
        <v>1125</v>
      </c>
      <c r="K547" s="85"/>
      <c r="L547" s="47" t="s">
        <v>622</v>
      </c>
      <c r="M547" s="3">
        <v>4.9850000000000003</v>
      </c>
      <c r="N547" s="3">
        <f t="shared" si="738"/>
        <v>2.9000000000000004</v>
      </c>
      <c r="O547" s="22">
        <v>0.155</v>
      </c>
      <c r="P547" s="23">
        <v>1</v>
      </c>
      <c r="Q547" s="3"/>
      <c r="R547" s="3"/>
      <c r="S547" s="3"/>
      <c r="T547" s="3"/>
      <c r="U547" s="3"/>
      <c r="V547" s="23"/>
      <c r="W547" s="3"/>
      <c r="X547" s="3"/>
      <c r="Y547" s="17"/>
      <c r="Z547" s="17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12">
        <f t="shared" si="728"/>
        <v>14.456500000000002</v>
      </c>
      <c r="AL547" s="12">
        <f t="shared" si="729"/>
        <v>14.456500000000002</v>
      </c>
      <c r="AM547" s="12">
        <f t="shared" si="730"/>
        <v>2.2407575000000004</v>
      </c>
      <c r="AN547" s="12">
        <f t="shared" si="731"/>
        <v>2.2407575000000004</v>
      </c>
      <c r="AO547" s="12" t="str">
        <f t="shared" si="732"/>
        <v/>
      </c>
      <c r="AP547" s="12">
        <f t="shared" si="733"/>
        <v>4.9850000000000003</v>
      </c>
      <c r="AQ547" s="12" t="str">
        <f t="shared" si="734"/>
        <v/>
      </c>
      <c r="AR547" s="12" t="str">
        <f t="shared" si="735"/>
        <v/>
      </c>
      <c r="AS547" s="12" t="str">
        <f t="shared" si="736"/>
        <v/>
      </c>
      <c r="AT547" s="12" t="str">
        <f t="shared" si="737"/>
        <v/>
      </c>
      <c r="AU547" s="12" t="str">
        <f t="shared" si="727"/>
        <v/>
      </c>
      <c r="AV547" s="17"/>
    </row>
    <row r="548" spans="1:48" x14ac:dyDescent="0.25">
      <c r="A548" s="43" t="s">
        <v>374</v>
      </c>
      <c r="B548" s="52" t="s">
        <v>540</v>
      </c>
      <c r="C548" s="44"/>
      <c r="D548" s="43"/>
      <c r="E548" s="52" t="s">
        <v>534</v>
      </c>
      <c r="F548" s="46"/>
      <c r="G548" s="76" t="s">
        <v>922</v>
      </c>
      <c r="H548" s="48" t="s">
        <v>1104</v>
      </c>
      <c r="I548" s="48"/>
      <c r="J548" s="84" t="s">
        <v>1125</v>
      </c>
      <c r="K548" s="85"/>
      <c r="L548" s="47" t="s">
        <v>622</v>
      </c>
      <c r="M548" s="3">
        <v>6.58</v>
      </c>
      <c r="N548" s="3">
        <f t="shared" si="738"/>
        <v>2.9000000000000004</v>
      </c>
      <c r="O548" s="22">
        <v>0.155</v>
      </c>
      <c r="P548" s="23">
        <v>1</v>
      </c>
      <c r="Q548" s="3"/>
      <c r="R548" s="3"/>
      <c r="S548" s="3"/>
      <c r="T548" s="3"/>
      <c r="U548" s="3"/>
      <c r="V548" s="23"/>
      <c r="W548" s="3"/>
      <c r="X548" s="3"/>
      <c r="Y548" s="17"/>
      <c r="Z548" s="17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12">
        <f t="shared" si="728"/>
        <v>19.082000000000004</v>
      </c>
      <c r="AL548" s="12">
        <f t="shared" si="729"/>
        <v>19.082000000000004</v>
      </c>
      <c r="AM548" s="12">
        <f t="shared" si="730"/>
        <v>2.9577100000000005</v>
      </c>
      <c r="AN548" s="12">
        <f t="shared" si="731"/>
        <v>2.9577100000000005</v>
      </c>
      <c r="AO548" s="12" t="str">
        <f t="shared" si="732"/>
        <v/>
      </c>
      <c r="AP548" s="12">
        <f t="shared" si="733"/>
        <v>6.58</v>
      </c>
      <c r="AQ548" s="12" t="str">
        <f t="shared" si="734"/>
        <v/>
      </c>
      <c r="AR548" s="12" t="str">
        <f t="shared" si="735"/>
        <v/>
      </c>
      <c r="AS548" s="12" t="str">
        <f t="shared" si="736"/>
        <v/>
      </c>
      <c r="AT548" s="12" t="str">
        <f t="shared" si="737"/>
        <v/>
      </c>
      <c r="AU548" s="12" t="str">
        <f t="shared" si="727"/>
        <v/>
      </c>
      <c r="AV548" s="17"/>
    </row>
    <row r="549" spans="1:48" x14ac:dyDescent="0.25">
      <c r="A549" s="43" t="s">
        <v>374</v>
      </c>
      <c r="B549" s="52" t="s">
        <v>534</v>
      </c>
      <c r="C549" s="44"/>
      <c r="D549" s="43"/>
      <c r="E549" s="52" t="s">
        <v>537</v>
      </c>
      <c r="F549" s="46"/>
      <c r="G549" s="76" t="s">
        <v>923</v>
      </c>
      <c r="H549" s="48" t="s">
        <v>1104</v>
      </c>
      <c r="I549" s="48"/>
      <c r="J549" s="84" t="s">
        <v>1125</v>
      </c>
      <c r="K549" s="85"/>
      <c r="L549" s="47" t="s">
        <v>622</v>
      </c>
      <c r="M549" s="3">
        <v>4.9850000000000003</v>
      </c>
      <c r="N549" s="3">
        <f t="shared" si="738"/>
        <v>2.9000000000000004</v>
      </c>
      <c r="O549" s="22">
        <v>0.155</v>
      </c>
      <c r="P549" s="23">
        <v>1</v>
      </c>
      <c r="Q549" s="3"/>
      <c r="R549" s="3"/>
      <c r="S549" s="3"/>
      <c r="T549" s="3"/>
      <c r="U549" s="3"/>
      <c r="V549" s="23"/>
      <c r="W549" s="3"/>
      <c r="X549" s="3"/>
      <c r="Y549" s="17"/>
      <c r="Z549" s="17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12">
        <f t="shared" si="728"/>
        <v>14.456500000000002</v>
      </c>
      <c r="AL549" s="12">
        <f t="shared" si="729"/>
        <v>14.456500000000002</v>
      </c>
      <c r="AM549" s="12">
        <f t="shared" si="730"/>
        <v>2.2407575000000004</v>
      </c>
      <c r="AN549" s="12">
        <f t="shared" si="731"/>
        <v>2.2407575000000004</v>
      </c>
      <c r="AO549" s="12" t="str">
        <f t="shared" si="732"/>
        <v/>
      </c>
      <c r="AP549" s="12">
        <f t="shared" si="733"/>
        <v>4.9850000000000003</v>
      </c>
      <c r="AQ549" s="12" t="str">
        <f t="shared" si="734"/>
        <v/>
      </c>
      <c r="AR549" s="12" t="str">
        <f t="shared" si="735"/>
        <v/>
      </c>
      <c r="AS549" s="12" t="str">
        <f t="shared" si="736"/>
        <v/>
      </c>
      <c r="AT549" s="12" t="str">
        <f t="shared" si="737"/>
        <v/>
      </c>
      <c r="AU549" s="12" t="str">
        <f t="shared" si="727"/>
        <v/>
      </c>
      <c r="AV549" s="17"/>
    </row>
    <row r="550" spans="1:48" x14ac:dyDescent="0.25">
      <c r="A550" s="43" t="s">
        <v>374</v>
      </c>
      <c r="B550" s="52" t="s">
        <v>537</v>
      </c>
      <c r="C550" s="44"/>
      <c r="D550" s="43"/>
      <c r="E550" s="52" t="s">
        <v>674</v>
      </c>
      <c r="F550" s="46"/>
      <c r="G550" s="76" t="s">
        <v>924</v>
      </c>
      <c r="H550" s="48" t="s">
        <v>1104</v>
      </c>
      <c r="I550" s="48"/>
      <c r="J550" s="84" t="s">
        <v>1125</v>
      </c>
      <c r="K550" s="85"/>
      <c r="L550" s="47" t="s">
        <v>622</v>
      </c>
      <c r="M550" s="3">
        <v>4.9850000000000003</v>
      </c>
      <c r="N550" s="3">
        <f t="shared" si="738"/>
        <v>2.9000000000000004</v>
      </c>
      <c r="O550" s="22">
        <v>0.155</v>
      </c>
      <c r="P550" s="23">
        <v>1</v>
      </c>
      <c r="Q550" s="3"/>
      <c r="R550" s="3"/>
      <c r="S550" s="3"/>
      <c r="T550" s="3"/>
      <c r="U550" s="3"/>
      <c r="V550" s="23"/>
      <c r="W550" s="3"/>
      <c r="X550" s="3"/>
      <c r="Y550" s="17"/>
      <c r="Z550" s="17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12">
        <f t="shared" si="728"/>
        <v>14.456500000000002</v>
      </c>
      <c r="AL550" s="12">
        <f t="shared" si="729"/>
        <v>14.456500000000002</v>
      </c>
      <c r="AM550" s="12">
        <f t="shared" si="730"/>
        <v>2.2407575000000004</v>
      </c>
      <c r="AN550" s="12">
        <f t="shared" si="731"/>
        <v>2.2407575000000004</v>
      </c>
      <c r="AO550" s="12" t="str">
        <f t="shared" si="732"/>
        <v/>
      </c>
      <c r="AP550" s="12">
        <f t="shared" si="733"/>
        <v>4.9850000000000003</v>
      </c>
      <c r="AQ550" s="12" t="str">
        <f t="shared" si="734"/>
        <v/>
      </c>
      <c r="AR550" s="12" t="str">
        <f t="shared" si="735"/>
        <v/>
      </c>
      <c r="AS550" s="12" t="str">
        <f t="shared" si="736"/>
        <v/>
      </c>
      <c r="AT550" s="12" t="str">
        <f t="shared" si="737"/>
        <v/>
      </c>
      <c r="AU550" s="12" t="str">
        <f t="shared" si="727"/>
        <v/>
      </c>
      <c r="AV550" s="17"/>
    </row>
    <row r="551" spans="1:48" x14ac:dyDescent="0.25">
      <c r="A551" s="43" t="s">
        <v>374</v>
      </c>
      <c r="B551" s="52" t="s">
        <v>674</v>
      </c>
      <c r="C551" s="44"/>
      <c r="D551" s="43"/>
      <c r="E551" s="52" t="s">
        <v>639</v>
      </c>
      <c r="F551" s="46"/>
      <c r="G551" s="76" t="s">
        <v>925</v>
      </c>
      <c r="H551" s="48" t="s">
        <v>1104</v>
      </c>
      <c r="I551" s="48"/>
      <c r="J551" s="84" t="s">
        <v>1125</v>
      </c>
      <c r="K551" s="85"/>
      <c r="L551" s="47" t="s">
        <v>622</v>
      </c>
      <c r="M551" s="3">
        <f>4.985+0.985+0.775</f>
        <v>6.745000000000001</v>
      </c>
      <c r="N551" s="3">
        <f t="shared" si="738"/>
        <v>2.9000000000000004</v>
      </c>
      <c r="O551" s="22">
        <v>0.155</v>
      </c>
      <c r="P551" s="23">
        <v>1</v>
      </c>
      <c r="Q551" s="3"/>
      <c r="R551" s="3"/>
      <c r="S551" s="3"/>
      <c r="T551" s="3"/>
      <c r="U551" s="3"/>
      <c r="V551" s="23"/>
      <c r="W551" s="3"/>
      <c r="X551" s="3"/>
      <c r="Y551" s="17"/>
      <c r="Z551" s="17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12">
        <f t="shared" si="728"/>
        <v>19.560500000000005</v>
      </c>
      <c r="AL551" s="12">
        <f t="shared" si="729"/>
        <v>19.560500000000005</v>
      </c>
      <c r="AM551" s="12">
        <f t="shared" si="730"/>
        <v>3.0318775000000007</v>
      </c>
      <c r="AN551" s="12">
        <f t="shared" si="731"/>
        <v>3.0318775000000007</v>
      </c>
      <c r="AO551" s="12" t="str">
        <f t="shared" si="732"/>
        <v/>
      </c>
      <c r="AP551" s="12">
        <f t="shared" si="733"/>
        <v>6.745000000000001</v>
      </c>
      <c r="AQ551" s="12" t="str">
        <f t="shared" si="734"/>
        <v/>
      </c>
      <c r="AR551" s="12" t="str">
        <f t="shared" si="735"/>
        <v/>
      </c>
      <c r="AS551" s="12" t="str">
        <f t="shared" si="736"/>
        <v/>
      </c>
      <c r="AT551" s="12" t="str">
        <f t="shared" si="737"/>
        <v/>
      </c>
      <c r="AU551" s="12" t="str">
        <f t="shared" si="727"/>
        <v/>
      </c>
      <c r="AV551" s="17"/>
    </row>
    <row r="552" spans="1:48" x14ac:dyDescent="0.25">
      <c r="A552" s="43" t="s">
        <v>374</v>
      </c>
      <c r="B552" s="52" t="s">
        <v>639</v>
      </c>
      <c r="C552" s="44"/>
      <c r="D552" s="43"/>
      <c r="E552" s="52" t="s">
        <v>652</v>
      </c>
      <c r="F552" s="46"/>
      <c r="G552" s="76" t="s">
        <v>926</v>
      </c>
      <c r="H552" s="48" t="s">
        <v>1104</v>
      </c>
      <c r="I552" s="48"/>
      <c r="J552" s="84" t="s">
        <v>1125</v>
      </c>
      <c r="K552" s="85"/>
      <c r="L552" s="47" t="s">
        <v>622</v>
      </c>
      <c r="M552" s="3">
        <v>4.9850000000000003</v>
      </c>
      <c r="N552" s="3">
        <f t="shared" si="738"/>
        <v>2.9000000000000004</v>
      </c>
      <c r="O552" s="22">
        <v>0.155</v>
      </c>
      <c r="P552" s="23">
        <v>1</v>
      </c>
      <c r="Q552" s="3"/>
      <c r="R552" s="3"/>
      <c r="S552" s="3"/>
      <c r="T552" s="3"/>
      <c r="U552" s="3"/>
      <c r="V552" s="23"/>
      <c r="W552" s="3"/>
      <c r="X552" s="3"/>
      <c r="Y552" s="17"/>
      <c r="Z552" s="17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12">
        <f t="shared" si="728"/>
        <v>14.456500000000002</v>
      </c>
      <c r="AL552" s="12">
        <f t="shared" si="729"/>
        <v>14.456500000000002</v>
      </c>
      <c r="AM552" s="12">
        <f t="shared" si="730"/>
        <v>2.2407575000000004</v>
      </c>
      <c r="AN552" s="12">
        <f t="shared" si="731"/>
        <v>2.2407575000000004</v>
      </c>
      <c r="AO552" s="12" t="str">
        <f t="shared" si="732"/>
        <v/>
      </c>
      <c r="AP552" s="12">
        <f t="shared" si="733"/>
        <v>4.9850000000000003</v>
      </c>
      <c r="AQ552" s="12" t="str">
        <f t="shared" si="734"/>
        <v/>
      </c>
      <c r="AR552" s="12" t="str">
        <f t="shared" si="735"/>
        <v/>
      </c>
      <c r="AS552" s="12" t="str">
        <f t="shared" si="736"/>
        <v/>
      </c>
      <c r="AT552" s="12" t="str">
        <f t="shared" si="737"/>
        <v/>
      </c>
      <c r="AU552" s="12" t="str">
        <f t="shared" si="727"/>
        <v/>
      </c>
      <c r="AV552" s="17"/>
    </row>
    <row r="553" spans="1:48" x14ac:dyDescent="0.25">
      <c r="A553" s="43" t="s">
        <v>374</v>
      </c>
      <c r="B553" s="52" t="s">
        <v>651</v>
      </c>
      <c r="C553" s="44"/>
      <c r="D553" s="43"/>
      <c r="E553" s="52" t="s">
        <v>654</v>
      </c>
      <c r="F553" s="46"/>
      <c r="G553" s="76" t="s">
        <v>927</v>
      </c>
      <c r="H553" s="48" t="s">
        <v>1104</v>
      </c>
      <c r="I553" s="48"/>
      <c r="J553" s="84" t="s">
        <v>1125</v>
      </c>
      <c r="K553" s="85"/>
      <c r="L553" s="47" t="s">
        <v>622</v>
      </c>
      <c r="M553" s="3">
        <v>3.9449999999999998</v>
      </c>
      <c r="N553" s="3">
        <f t="shared" si="738"/>
        <v>2.9000000000000004</v>
      </c>
      <c r="O553" s="22">
        <v>0.155</v>
      </c>
      <c r="P553" s="23">
        <v>1</v>
      </c>
      <c r="Q553" s="3"/>
      <c r="R553" s="3"/>
      <c r="S553" s="3"/>
      <c r="T553" s="3"/>
      <c r="U553" s="3"/>
      <c r="V553" s="23"/>
      <c r="W553" s="3"/>
      <c r="X553" s="3"/>
      <c r="Y553" s="17"/>
      <c r="Z553" s="17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12">
        <f t="shared" si="728"/>
        <v>11.4405</v>
      </c>
      <c r="AL553" s="12">
        <f t="shared" si="729"/>
        <v>11.4405</v>
      </c>
      <c r="AM553" s="12">
        <f t="shared" si="730"/>
        <v>1.7732775000000001</v>
      </c>
      <c r="AN553" s="12">
        <f t="shared" si="731"/>
        <v>1.7732775000000001</v>
      </c>
      <c r="AO553" s="12" t="str">
        <f t="shared" si="732"/>
        <v/>
      </c>
      <c r="AP553" s="12">
        <f t="shared" si="733"/>
        <v>3.9449999999999998</v>
      </c>
      <c r="AQ553" s="12" t="str">
        <f t="shared" si="734"/>
        <v/>
      </c>
      <c r="AR553" s="12" t="str">
        <f t="shared" si="735"/>
        <v/>
      </c>
      <c r="AS553" s="12" t="str">
        <f t="shared" si="736"/>
        <v/>
      </c>
      <c r="AT553" s="12" t="str">
        <f t="shared" si="737"/>
        <v/>
      </c>
      <c r="AU553" s="12" t="str">
        <f t="shared" si="727"/>
        <v/>
      </c>
      <c r="AV553" s="17"/>
    </row>
    <row r="554" spans="1:48" x14ac:dyDescent="0.25">
      <c r="A554" s="43" t="s">
        <v>374</v>
      </c>
      <c r="B554" s="52" t="s">
        <v>525</v>
      </c>
      <c r="C554" s="44"/>
      <c r="D554" s="43"/>
      <c r="E554" s="52" t="s">
        <v>518</v>
      </c>
      <c r="F554" s="46"/>
      <c r="G554" s="76" t="s">
        <v>928</v>
      </c>
      <c r="H554" s="48" t="s">
        <v>1104</v>
      </c>
      <c r="I554" s="48"/>
      <c r="J554" s="84" t="s">
        <v>1125</v>
      </c>
      <c r="K554" s="85"/>
      <c r="L554" s="47" t="s">
        <v>622</v>
      </c>
      <c r="M554" s="3">
        <f>1.885+1.155</f>
        <v>3.04</v>
      </c>
      <c r="N554" s="3">
        <f t="shared" si="738"/>
        <v>2.9000000000000004</v>
      </c>
      <c r="O554" s="22">
        <v>0.155</v>
      </c>
      <c r="P554" s="23">
        <v>1</v>
      </c>
      <c r="Q554" s="3"/>
      <c r="R554" s="3">
        <f>1.2*2.17</f>
        <v>2.6039999999999996</v>
      </c>
      <c r="S554" s="3"/>
      <c r="T554" s="3"/>
      <c r="U554" s="3"/>
      <c r="V554" s="23"/>
      <c r="W554" s="3"/>
      <c r="X554" s="3"/>
      <c r="Y554" s="17"/>
      <c r="Z554" s="17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12">
        <f t="shared" si="728"/>
        <v>6.2120000000000015</v>
      </c>
      <c r="AL554" s="12">
        <f t="shared" si="729"/>
        <v>6.2120000000000015</v>
      </c>
      <c r="AM554" s="12">
        <f t="shared" si="730"/>
        <v>0.96286000000000027</v>
      </c>
      <c r="AN554" s="12">
        <f t="shared" si="731"/>
        <v>0.96286000000000027</v>
      </c>
      <c r="AO554" s="12" t="str">
        <f t="shared" si="732"/>
        <v/>
      </c>
      <c r="AP554" s="12">
        <f t="shared" si="733"/>
        <v>3.04</v>
      </c>
      <c r="AQ554" s="12" t="str">
        <f t="shared" si="734"/>
        <v/>
      </c>
      <c r="AR554" s="12" t="str">
        <f t="shared" si="735"/>
        <v/>
      </c>
      <c r="AS554" s="12" t="str">
        <f t="shared" si="736"/>
        <v/>
      </c>
      <c r="AT554" s="12" t="str">
        <f t="shared" si="737"/>
        <v/>
      </c>
      <c r="AU554" s="12" t="str">
        <f t="shared" si="727"/>
        <v/>
      </c>
      <c r="AV554" s="17"/>
    </row>
    <row r="555" spans="1:48" x14ac:dyDescent="0.25">
      <c r="A555" s="43" t="s">
        <v>374</v>
      </c>
      <c r="B555" s="52" t="s">
        <v>739</v>
      </c>
      <c r="C555" s="44"/>
      <c r="D555" s="43"/>
      <c r="E555" s="52" t="s">
        <v>518</v>
      </c>
      <c r="F555" s="46"/>
      <c r="G555" s="76" t="s">
        <v>929</v>
      </c>
      <c r="H555" s="48" t="s">
        <v>1104</v>
      </c>
      <c r="I555" s="48"/>
      <c r="J555" s="84" t="s">
        <v>1125</v>
      </c>
      <c r="K555" s="85"/>
      <c r="L555" s="47" t="s">
        <v>622</v>
      </c>
      <c r="M555" s="3">
        <f>3.925</f>
        <v>3.9249999999999998</v>
      </c>
      <c r="N555" s="3">
        <f t="shared" si="738"/>
        <v>2.9000000000000004</v>
      </c>
      <c r="O555" s="22">
        <v>0.155</v>
      </c>
      <c r="P555" s="23">
        <v>1</v>
      </c>
      <c r="Q555" s="3"/>
      <c r="R555" s="3">
        <f>1.2*2.17*2</f>
        <v>5.2079999999999993</v>
      </c>
      <c r="S555" s="3"/>
      <c r="T555" s="3"/>
      <c r="U555" s="3"/>
      <c r="V555" s="23"/>
      <c r="W555" s="3"/>
      <c r="X555" s="3"/>
      <c r="Y555" s="17"/>
      <c r="Z555" s="17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12">
        <f t="shared" si="728"/>
        <v>6.174500000000001</v>
      </c>
      <c r="AL555" s="12">
        <f t="shared" si="729"/>
        <v>6.174500000000001</v>
      </c>
      <c r="AM555" s="12">
        <f t="shared" si="730"/>
        <v>0.95704750000000016</v>
      </c>
      <c r="AN555" s="12">
        <f t="shared" si="731"/>
        <v>0.95704750000000016</v>
      </c>
      <c r="AO555" s="12" t="str">
        <f t="shared" si="732"/>
        <v/>
      </c>
      <c r="AP555" s="12">
        <f t="shared" si="733"/>
        <v>3.9249999999999998</v>
      </c>
      <c r="AQ555" s="12" t="str">
        <f t="shared" si="734"/>
        <v/>
      </c>
      <c r="AR555" s="12" t="str">
        <f t="shared" si="735"/>
        <v/>
      </c>
      <c r="AS555" s="12" t="str">
        <f t="shared" si="736"/>
        <v/>
      </c>
      <c r="AT555" s="12" t="str">
        <f t="shared" si="737"/>
        <v/>
      </c>
      <c r="AU555" s="12" t="str">
        <f t="shared" si="727"/>
        <v/>
      </c>
      <c r="AV555" s="17"/>
    </row>
    <row r="556" spans="1:48" x14ac:dyDescent="0.25">
      <c r="A556" s="43" t="s">
        <v>374</v>
      </c>
      <c r="B556" s="52" t="s">
        <v>740</v>
      </c>
      <c r="C556" s="44"/>
      <c r="D556" s="43"/>
      <c r="E556" s="52" t="s">
        <v>518</v>
      </c>
      <c r="F556" s="46"/>
      <c r="G556" s="76" t="s">
        <v>930</v>
      </c>
      <c r="H556" s="48" t="s">
        <v>1104</v>
      </c>
      <c r="I556" s="48"/>
      <c r="J556" s="84" t="s">
        <v>1125</v>
      </c>
      <c r="K556" s="85"/>
      <c r="L556" s="47" t="s">
        <v>622</v>
      </c>
      <c r="M556" s="3">
        <f>3.925</f>
        <v>3.9249999999999998</v>
      </c>
      <c r="N556" s="3">
        <f t="shared" si="738"/>
        <v>2.9000000000000004</v>
      </c>
      <c r="O556" s="22">
        <v>0.155</v>
      </c>
      <c r="P556" s="23">
        <v>1</v>
      </c>
      <c r="Q556" s="3"/>
      <c r="R556" s="3">
        <f>1.2*2.17*2</f>
        <v>5.2079999999999993</v>
      </c>
      <c r="S556" s="3"/>
      <c r="T556" s="3"/>
      <c r="U556" s="3"/>
      <c r="V556" s="23"/>
      <c r="W556" s="3"/>
      <c r="X556" s="3"/>
      <c r="Y556" s="17"/>
      <c r="Z556" s="17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12">
        <f t="shared" si="728"/>
        <v>6.174500000000001</v>
      </c>
      <c r="AL556" s="12">
        <f t="shared" si="729"/>
        <v>6.174500000000001</v>
      </c>
      <c r="AM556" s="12">
        <f t="shared" si="730"/>
        <v>0.95704750000000016</v>
      </c>
      <c r="AN556" s="12">
        <f t="shared" si="731"/>
        <v>0.95704750000000016</v>
      </c>
      <c r="AO556" s="12" t="str">
        <f t="shared" si="732"/>
        <v/>
      </c>
      <c r="AP556" s="12">
        <f t="shared" si="733"/>
        <v>3.9249999999999998</v>
      </c>
      <c r="AQ556" s="12" t="str">
        <f t="shared" si="734"/>
        <v/>
      </c>
      <c r="AR556" s="12" t="str">
        <f t="shared" si="735"/>
        <v/>
      </c>
      <c r="AS556" s="12" t="str">
        <f t="shared" si="736"/>
        <v/>
      </c>
      <c r="AT556" s="12" t="str">
        <f t="shared" si="737"/>
        <v/>
      </c>
      <c r="AU556" s="12" t="str">
        <f t="shared" si="727"/>
        <v/>
      </c>
      <c r="AV556" s="17"/>
    </row>
    <row r="557" spans="1:48" x14ac:dyDescent="0.25">
      <c r="A557" s="43" t="s">
        <v>374</v>
      </c>
      <c r="B557" s="52" t="s">
        <v>620</v>
      </c>
      <c r="C557" s="44"/>
      <c r="D557" s="43"/>
      <c r="E557" s="52" t="s">
        <v>518</v>
      </c>
      <c r="F557" s="46"/>
      <c r="G557" s="76" t="s">
        <v>936</v>
      </c>
      <c r="H557" s="48" t="s">
        <v>1104</v>
      </c>
      <c r="I557" s="48"/>
      <c r="J557" s="84" t="s">
        <v>1125</v>
      </c>
      <c r="K557" s="85"/>
      <c r="L557" s="47" t="s">
        <v>622</v>
      </c>
      <c r="M557" s="3">
        <f>1.505</f>
        <v>1.5049999999999999</v>
      </c>
      <c r="N557" s="3">
        <f t="shared" si="738"/>
        <v>2.9000000000000004</v>
      </c>
      <c r="O557" s="22">
        <v>0.155</v>
      </c>
      <c r="P557" s="23">
        <v>1</v>
      </c>
      <c r="Q557" s="3"/>
      <c r="R557" s="3">
        <f>1.2*2.17</f>
        <v>2.6039999999999996</v>
      </c>
      <c r="S557" s="3"/>
      <c r="T557" s="3"/>
      <c r="U557" s="3"/>
      <c r="V557" s="23"/>
      <c r="W557" s="3"/>
      <c r="X557" s="3"/>
      <c r="Y557" s="17"/>
      <c r="Z557" s="17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12">
        <f t="shared" si="728"/>
        <v>1.7605000000000008</v>
      </c>
      <c r="AL557" s="12">
        <f t="shared" si="729"/>
        <v>1.7605000000000008</v>
      </c>
      <c r="AM557" s="12">
        <f t="shared" si="730"/>
        <v>0.27287750000000011</v>
      </c>
      <c r="AN557" s="12">
        <f t="shared" si="731"/>
        <v>0.27287750000000011</v>
      </c>
      <c r="AO557" s="12" t="str">
        <f t="shared" si="732"/>
        <v/>
      </c>
      <c r="AP557" s="12">
        <f t="shared" si="733"/>
        <v>1.5049999999999999</v>
      </c>
      <c r="AQ557" s="12" t="str">
        <f t="shared" si="734"/>
        <v/>
      </c>
      <c r="AR557" s="12" t="str">
        <f t="shared" si="735"/>
        <v/>
      </c>
      <c r="AS557" s="12" t="str">
        <f t="shared" si="736"/>
        <v/>
      </c>
      <c r="AT557" s="12" t="str">
        <f t="shared" si="737"/>
        <v/>
      </c>
      <c r="AU557" s="12" t="str">
        <f t="shared" ref="AU557:AU588" si="750">IF(OR(H557="s1",H557="s2",H557="s3",H557="s4",H557="s4*",H557="s5",H557="s12",H557="s16"),IF(M557&gt;=4,M557,""),"")</f>
        <v/>
      </c>
      <c r="AV557" s="17"/>
    </row>
    <row r="558" spans="1:48" x14ac:dyDescent="0.25">
      <c r="A558" s="43" t="s">
        <v>374</v>
      </c>
      <c r="B558" s="52" t="s">
        <v>741</v>
      </c>
      <c r="C558" s="44"/>
      <c r="D558" s="43"/>
      <c r="E558" s="52" t="s">
        <v>518</v>
      </c>
      <c r="F558" s="46"/>
      <c r="G558" s="76" t="s">
        <v>931</v>
      </c>
      <c r="H558" s="48" t="s">
        <v>1104</v>
      </c>
      <c r="I558" s="48"/>
      <c r="J558" s="84" t="s">
        <v>1125</v>
      </c>
      <c r="K558" s="85"/>
      <c r="L558" s="47" t="s">
        <v>622</v>
      </c>
      <c r="M558" s="3">
        <f>3.74</f>
        <v>3.74</v>
      </c>
      <c r="N558" s="3">
        <f t="shared" si="738"/>
        <v>2.9000000000000004</v>
      </c>
      <c r="O558" s="22">
        <v>0.155</v>
      </c>
      <c r="P558" s="23">
        <v>1</v>
      </c>
      <c r="Q558" s="3"/>
      <c r="R558" s="3">
        <f>1.2*2.17+1.65*2.65</f>
        <v>6.9764999999999997</v>
      </c>
      <c r="S558" s="3"/>
      <c r="T558" s="3"/>
      <c r="U558" s="3"/>
      <c r="V558" s="23"/>
      <c r="W558" s="3"/>
      <c r="X558" s="3"/>
      <c r="Y558" s="17"/>
      <c r="Z558" s="17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12">
        <f t="shared" si="728"/>
        <v>3.8695000000000022</v>
      </c>
      <c r="AL558" s="12">
        <f t="shared" si="729"/>
        <v>3.8695000000000022</v>
      </c>
      <c r="AM558" s="12">
        <f t="shared" si="730"/>
        <v>0.59977250000000037</v>
      </c>
      <c r="AN558" s="12">
        <f t="shared" si="731"/>
        <v>0.59977250000000037</v>
      </c>
      <c r="AO558" s="12" t="str">
        <f t="shared" si="732"/>
        <v/>
      </c>
      <c r="AP558" s="12">
        <f t="shared" si="733"/>
        <v>3.74</v>
      </c>
      <c r="AQ558" s="12" t="str">
        <f t="shared" si="734"/>
        <v/>
      </c>
      <c r="AR558" s="12" t="str">
        <f t="shared" si="735"/>
        <v/>
      </c>
      <c r="AS558" s="12" t="str">
        <f t="shared" si="736"/>
        <v/>
      </c>
      <c r="AT558" s="12" t="str">
        <f t="shared" si="737"/>
        <v/>
      </c>
      <c r="AU558" s="12" t="str">
        <f t="shared" si="750"/>
        <v/>
      </c>
      <c r="AV558" s="17"/>
    </row>
    <row r="559" spans="1:48" x14ac:dyDescent="0.25">
      <c r="A559" s="43" t="s">
        <v>374</v>
      </c>
      <c r="B559" s="52" t="s">
        <v>742</v>
      </c>
      <c r="C559" s="44"/>
      <c r="D559" s="43"/>
      <c r="E559" s="52" t="s">
        <v>518</v>
      </c>
      <c r="F559" s="46"/>
      <c r="G559" s="76" t="s">
        <v>932</v>
      </c>
      <c r="H559" s="48" t="s">
        <v>1104</v>
      </c>
      <c r="I559" s="48"/>
      <c r="J559" s="84" t="s">
        <v>1125</v>
      </c>
      <c r="K559" s="85"/>
      <c r="L559" s="47" t="s">
        <v>622</v>
      </c>
      <c r="M559" s="3">
        <f>3.925-(0.635*2+0.155)</f>
        <v>2.5</v>
      </c>
      <c r="N559" s="3">
        <f t="shared" si="738"/>
        <v>2.9000000000000004</v>
      </c>
      <c r="O559" s="22">
        <v>0.155</v>
      </c>
      <c r="P559" s="23">
        <v>1</v>
      </c>
      <c r="Q559" s="3"/>
      <c r="R559" s="3">
        <f>1.2*2.17*2</f>
        <v>5.2079999999999993</v>
      </c>
      <c r="S559" s="3"/>
      <c r="T559" s="3"/>
      <c r="U559" s="3"/>
      <c r="V559" s="23"/>
      <c r="W559" s="3"/>
      <c r="X559" s="3"/>
      <c r="Y559" s="17"/>
      <c r="Z559" s="17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12">
        <f t="shared" si="728"/>
        <v>2.0420000000000016</v>
      </c>
      <c r="AL559" s="12">
        <f t="shared" si="729"/>
        <v>2.0420000000000016</v>
      </c>
      <c r="AM559" s="12">
        <f t="shared" si="730"/>
        <v>0.31651000000000024</v>
      </c>
      <c r="AN559" s="12">
        <f t="shared" si="731"/>
        <v>0.31651000000000024</v>
      </c>
      <c r="AO559" s="12" t="str">
        <f t="shared" si="732"/>
        <v/>
      </c>
      <c r="AP559" s="12">
        <f t="shared" si="733"/>
        <v>2.5</v>
      </c>
      <c r="AQ559" s="12" t="str">
        <f t="shared" si="734"/>
        <v/>
      </c>
      <c r="AR559" s="12" t="str">
        <f t="shared" si="735"/>
        <v/>
      </c>
      <c r="AS559" s="12" t="str">
        <f t="shared" si="736"/>
        <v/>
      </c>
      <c r="AT559" s="12" t="str">
        <f t="shared" si="737"/>
        <v/>
      </c>
      <c r="AU559" s="12" t="str">
        <f t="shared" si="750"/>
        <v/>
      </c>
      <c r="AV559" s="17"/>
    </row>
    <row r="560" spans="1:48" x14ac:dyDescent="0.25">
      <c r="A560" s="43" t="s">
        <v>374</v>
      </c>
      <c r="B560" s="52" t="s">
        <v>742</v>
      </c>
      <c r="C560" s="44"/>
      <c r="D560" s="43"/>
      <c r="E560" s="52" t="s">
        <v>518</v>
      </c>
      <c r="F560" s="46"/>
      <c r="G560" s="76" t="s">
        <v>933</v>
      </c>
      <c r="H560" s="48" t="s">
        <v>1090</v>
      </c>
      <c r="I560" s="48"/>
      <c r="J560" s="84" t="s">
        <v>1125</v>
      </c>
      <c r="K560" s="85"/>
      <c r="L560" s="47" t="s">
        <v>1175</v>
      </c>
      <c r="M560" s="3">
        <f>0.635*2+0.155</f>
        <v>1.425</v>
      </c>
      <c r="N560" s="3">
        <f t="shared" si="738"/>
        <v>2.9000000000000004</v>
      </c>
      <c r="O560" s="22">
        <v>7.4999999999999997E-2</v>
      </c>
      <c r="P560" s="23">
        <v>1</v>
      </c>
      <c r="Q560" s="3"/>
      <c r="R560" s="3"/>
      <c r="S560" s="3"/>
      <c r="T560" s="3"/>
      <c r="U560" s="3"/>
      <c r="V560" s="23"/>
      <c r="W560" s="3"/>
      <c r="X560" s="3"/>
      <c r="Y560" s="17"/>
      <c r="Z560" s="17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12">
        <f t="shared" si="728"/>
        <v>4.1325000000000003</v>
      </c>
      <c r="AL560" s="12">
        <f t="shared" si="729"/>
        <v>4.1325000000000003</v>
      </c>
      <c r="AM560" s="12">
        <f t="shared" si="730"/>
        <v>0.30993750000000003</v>
      </c>
      <c r="AN560" s="12">
        <f t="shared" si="731"/>
        <v>0.30993750000000003</v>
      </c>
      <c r="AO560" s="12" t="str">
        <f t="shared" si="732"/>
        <v/>
      </c>
      <c r="AP560" s="12">
        <f t="shared" si="733"/>
        <v>1.425</v>
      </c>
      <c r="AQ560" s="12" t="str">
        <f t="shared" si="734"/>
        <v/>
      </c>
      <c r="AR560" s="12" t="str">
        <f t="shared" si="735"/>
        <v/>
      </c>
      <c r="AS560" s="12" t="str">
        <f t="shared" si="736"/>
        <v/>
      </c>
      <c r="AT560" s="12" t="str">
        <f t="shared" si="737"/>
        <v/>
      </c>
      <c r="AU560" s="12" t="str">
        <f t="shared" si="750"/>
        <v/>
      </c>
      <c r="AV560" s="17"/>
    </row>
    <row r="561" spans="1:48" x14ac:dyDescent="0.25">
      <c r="A561" s="43" t="s">
        <v>374</v>
      </c>
      <c r="B561" s="52" t="s">
        <v>742</v>
      </c>
      <c r="C561" s="44"/>
      <c r="D561" s="43"/>
      <c r="E561" s="52" t="s">
        <v>518</v>
      </c>
      <c r="F561" s="46"/>
      <c r="G561" s="76" t="s">
        <v>1119</v>
      </c>
      <c r="H561" s="48" t="s">
        <v>1106</v>
      </c>
      <c r="I561" s="48"/>
      <c r="J561" s="84" t="s">
        <v>1144</v>
      </c>
      <c r="K561" s="85"/>
      <c r="L561" s="47" t="s">
        <v>622</v>
      </c>
      <c r="M561" s="3">
        <f>0.635*2+0.155+0.33*2</f>
        <v>2.085</v>
      </c>
      <c r="N561" s="3">
        <f t="shared" si="738"/>
        <v>2.9000000000000004</v>
      </c>
      <c r="O561" s="22">
        <v>0.155</v>
      </c>
      <c r="P561" s="23">
        <v>1</v>
      </c>
      <c r="Q561" s="3"/>
      <c r="R561" s="3"/>
      <c r="S561" s="3"/>
      <c r="T561" s="3"/>
      <c r="U561" s="3"/>
      <c r="V561" s="23"/>
      <c r="W561" s="3"/>
      <c r="X561" s="3"/>
      <c r="Y561" s="17"/>
      <c r="Z561" s="17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12">
        <f t="shared" si="728"/>
        <v>6.0465000000000009</v>
      </c>
      <c r="AL561" s="12">
        <f t="shared" si="729"/>
        <v>6.0465000000000009</v>
      </c>
      <c r="AM561" s="12">
        <f t="shared" si="730"/>
        <v>0.93720750000000008</v>
      </c>
      <c r="AN561" s="12">
        <f t="shared" si="731"/>
        <v>0.93720750000000008</v>
      </c>
      <c r="AO561" s="12" t="str">
        <f t="shared" si="732"/>
        <v/>
      </c>
      <c r="AP561" s="12">
        <f t="shared" si="733"/>
        <v>2.085</v>
      </c>
      <c r="AQ561" s="12" t="str">
        <f t="shared" si="734"/>
        <v/>
      </c>
      <c r="AR561" s="12" t="str">
        <f t="shared" si="735"/>
        <v/>
      </c>
      <c r="AS561" s="12" t="str">
        <f t="shared" si="736"/>
        <v/>
      </c>
      <c r="AT561" s="12" t="str">
        <f t="shared" si="737"/>
        <v/>
      </c>
      <c r="AU561" s="12" t="str">
        <f t="shared" si="750"/>
        <v/>
      </c>
      <c r="AV561" s="17"/>
    </row>
    <row r="562" spans="1:48" x14ac:dyDescent="0.25">
      <c r="A562" s="43" t="s">
        <v>374</v>
      </c>
      <c r="B562" s="52" t="s">
        <v>537</v>
      </c>
      <c r="C562" s="44"/>
      <c r="D562" s="43"/>
      <c r="E562" s="52" t="s">
        <v>518</v>
      </c>
      <c r="F562" s="46"/>
      <c r="G562" s="76" t="s">
        <v>934</v>
      </c>
      <c r="H562" s="48" t="s">
        <v>1104</v>
      </c>
      <c r="I562" s="48"/>
      <c r="J562" s="84" t="s">
        <v>1125</v>
      </c>
      <c r="K562" s="85"/>
      <c r="L562" s="47" t="s">
        <v>622</v>
      </c>
      <c r="M562" s="3">
        <f>1.885</f>
        <v>1.885</v>
      </c>
      <c r="N562" s="3">
        <f t="shared" si="738"/>
        <v>2.9000000000000004</v>
      </c>
      <c r="O562" s="22">
        <v>0.155</v>
      </c>
      <c r="P562" s="23">
        <v>1</v>
      </c>
      <c r="Q562" s="3"/>
      <c r="R562" s="3">
        <f>1.2*2.17</f>
        <v>2.6039999999999996</v>
      </c>
      <c r="S562" s="3"/>
      <c r="T562" s="3"/>
      <c r="U562" s="3"/>
      <c r="V562" s="23"/>
      <c r="W562" s="3"/>
      <c r="X562" s="3"/>
      <c r="Y562" s="17"/>
      <c r="Z562" s="17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12">
        <f t="shared" si="728"/>
        <v>2.8625000000000012</v>
      </c>
      <c r="AL562" s="12">
        <f t="shared" si="729"/>
        <v>2.8625000000000012</v>
      </c>
      <c r="AM562" s="12">
        <f t="shared" si="730"/>
        <v>0.44368750000000018</v>
      </c>
      <c r="AN562" s="12">
        <f t="shared" si="731"/>
        <v>0.44368750000000018</v>
      </c>
      <c r="AO562" s="12" t="str">
        <f t="shared" si="732"/>
        <v/>
      </c>
      <c r="AP562" s="12">
        <f t="shared" si="733"/>
        <v>1.885</v>
      </c>
      <c r="AQ562" s="12" t="str">
        <f t="shared" si="734"/>
        <v/>
      </c>
      <c r="AR562" s="12" t="str">
        <f t="shared" si="735"/>
        <v/>
      </c>
      <c r="AS562" s="12" t="str">
        <f t="shared" si="736"/>
        <v/>
      </c>
      <c r="AT562" s="12" t="str">
        <f t="shared" si="737"/>
        <v/>
      </c>
      <c r="AU562" s="12" t="str">
        <f t="shared" si="750"/>
        <v/>
      </c>
      <c r="AV562" s="17"/>
    </row>
    <row r="563" spans="1:48" x14ac:dyDescent="0.25">
      <c r="A563" s="43" t="s">
        <v>374</v>
      </c>
      <c r="B563" s="52" t="s">
        <v>675</v>
      </c>
      <c r="C563" s="44"/>
      <c r="D563" s="43"/>
      <c r="E563" s="52" t="s">
        <v>518</v>
      </c>
      <c r="F563" s="46"/>
      <c r="G563" s="76" t="s">
        <v>935</v>
      </c>
      <c r="H563" s="48" t="s">
        <v>1104</v>
      </c>
      <c r="I563" s="48"/>
      <c r="J563" s="84" t="s">
        <v>1125</v>
      </c>
      <c r="K563" s="85"/>
      <c r="L563" s="47" t="s">
        <v>622</v>
      </c>
      <c r="M563" s="3">
        <f>3.935</f>
        <v>3.9350000000000001</v>
      </c>
      <c r="N563" s="3">
        <f t="shared" si="738"/>
        <v>2.9000000000000004</v>
      </c>
      <c r="O563" s="22">
        <v>0.155</v>
      </c>
      <c r="P563" s="23">
        <v>1</v>
      </c>
      <c r="Q563" s="3"/>
      <c r="R563" s="3">
        <f>1.2*2.17*2</f>
        <v>5.2079999999999993</v>
      </c>
      <c r="S563" s="3"/>
      <c r="T563" s="3"/>
      <c r="U563" s="3"/>
      <c r="V563" s="23"/>
      <c r="W563" s="3"/>
      <c r="X563" s="3"/>
      <c r="Y563" s="17"/>
      <c r="Z563" s="17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12">
        <f t="shared" si="728"/>
        <v>6.2035000000000027</v>
      </c>
      <c r="AL563" s="12">
        <f t="shared" si="729"/>
        <v>6.2035000000000027</v>
      </c>
      <c r="AM563" s="12">
        <f t="shared" si="730"/>
        <v>0.96154250000000041</v>
      </c>
      <c r="AN563" s="12">
        <f t="shared" si="731"/>
        <v>0.96154250000000041</v>
      </c>
      <c r="AO563" s="12" t="str">
        <f t="shared" si="732"/>
        <v/>
      </c>
      <c r="AP563" s="12">
        <f t="shared" si="733"/>
        <v>3.9350000000000001</v>
      </c>
      <c r="AQ563" s="12" t="str">
        <f t="shared" si="734"/>
        <v/>
      </c>
      <c r="AR563" s="12" t="str">
        <f t="shared" si="735"/>
        <v/>
      </c>
      <c r="AS563" s="12" t="str">
        <f t="shared" si="736"/>
        <v/>
      </c>
      <c r="AT563" s="12" t="str">
        <f t="shared" si="737"/>
        <v/>
      </c>
      <c r="AU563" s="12" t="str">
        <f t="shared" si="750"/>
        <v/>
      </c>
      <c r="AV563" s="17"/>
    </row>
    <row r="564" spans="1:48" x14ac:dyDescent="0.25">
      <c r="A564" s="43" t="s">
        <v>374</v>
      </c>
      <c r="B564" s="52" t="s">
        <v>652</v>
      </c>
      <c r="C564" s="44"/>
      <c r="D564" s="43"/>
      <c r="E564" s="52" t="s">
        <v>518</v>
      </c>
      <c r="F564" s="46"/>
      <c r="G564" s="76" t="s">
        <v>937</v>
      </c>
      <c r="H564" s="48" t="s">
        <v>1104</v>
      </c>
      <c r="I564" s="48"/>
      <c r="J564" s="84" t="s">
        <v>1125</v>
      </c>
      <c r="K564" s="85"/>
      <c r="L564" s="47" t="s">
        <v>622</v>
      </c>
      <c r="M564" s="3">
        <f>1.785</f>
        <v>1.7849999999999999</v>
      </c>
      <c r="N564" s="3">
        <f t="shared" si="738"/>
        <v>2.9000000000000004</v>
      </c>
      <c r="O564" s="22">
        <v>0.155</v>
      </c>
      <c r="P564" s="23">
        <v>1</v>
      </c>
      <c r="Q564" s="3"/>
      <c r="R564" s="3">
        <f>1.2*2.17</f>
        <v>2.6039999999999996</v>
      </c>
      <c r="S564" s="3"/>
      <c r="T564" s="3"/>
      <c r="U564" s="3"/>
      <c r="V564" s="23"/>
      <c r="W564" s="3"/>
      <c r="X564" s="3"/>
      <c r="Y564" s="17"/>
      <c r="Z564" s="17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12">
        <f t="shared" si="728"/>
        <v>2.5725000000000011</v>
      </c>
      <c r="AL564" s="12">
        <f t="shared" si="729"/>
        <v>2.5725000000000011</v>
      </c>
      <c r="AM564" s="12">
        <f t="shared" si="730"/>
        <v>0.39873750000000019</v>
      </c>
      <c r="AN564" s="12">
        <f t="shared" si="731"/>
        <v>0.39873750000000019</v>
      </c>
      <c r="AO564" s="12" t="str">
        <f t="shared" si="732"/>
        <v/>
      </c>
      <c r="AP564" s="12">
        <f t="shared" si="733"/>
        <v>1.7849999999999999</v>
      </c>
      <c r="AQ564" s="12" t="str">
        <f t="shared" si="734"/>
        <v/>
      </c>
      <c r="AR564" s="12" t="str">
        <f t="shared" si="735"/>
        <v/>
      </c>
      <c r="AS564" s="12" t="str">
        <f t="shared" si="736"/>
        <v/>
      </c>
      <c r="AT564" s="12" t="str">
        <f t="shared" si="737"/>
        <v/>
      </c>
      <c r="AU564" s="12" t="str">
        <f t="shared" si="750"/>
        <v/>
      </c>
      <c r="AV564" s="17"/>
    </row>
    <row r="565" spans="1:48" x14ac:dyDescent="0.25">
      <c r="A565" s="43" t="s">
        <v>374</v>
      </c>
      <c r="B565" s="52" t="s">
        <v>651</v>
      </c>
      <c r="C565" s="44"/>
      <c r="D565" s="43"/>
      <c r="E565" s="52" t="s">
        <v>518</v>
      </c>
      <c r="F565" s="46"/>
      <c r="G565" s="76" t="s">
        <v>938</v>
      </c>
      <c r="H565" s="48" t="s">
        <v>1104</v>
      </c>
      <c r="I565" s="48"/>
      <c r="J565" s="84" t="s">
        <v>1125</v>
      </c>
      <c r="K565" s="85"/>
      <c r="L565" s="47" t="s">
        <v>622</v>
      </c>
      <c r="M565" s="3">
        <f>2.13</f>
        <v>2.13</v>
      </c>
      <c r="N565" s="3">
        <f t="shared" si="738"/>
        <v>2.9000000000000004</v>
      </c>
      <c r="O565" s="22">
        <v>0.155</v>
      </c>
      <c r="P565" s="23">
        <v>1</v>
      </c>
      <c r="Q565" s="3"/>
      <c r="R565" s="3">
        <f>1.2*2.17</f>
        <v>2.6039999999999996</v>
      </c>
      <c r="S565" s="3"/>
      <c r="T565" s="3"/>
      <c r="U565" s="3"/>
      <c r="V565" s="23"/>
      <c r="W565" s="3"/>
      <c r="X565" s="3"/>
      <c r="Y565" s="17"/>
      <c r="Z565" s="17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12">
        <f t="shared" si="728"/>
        <v>3.5730000000000008</v>
      </c>
      <c r="AL565" s="12">
        <f t="shared" si="729"/>
        <v>3.5730000000000008</v>
      </c>
      <c r="AM565" s="12">
        <f t="shared" si="730"/>
        <v>0.55381500000000017</v>
      </c>
      <c r="AN565" s="12">
        <f t="shared" si="731"/>
        <v>0.55381500000000017</v>
      </c>
      <c r="AO565" s="12" t="str">
        <f t="shared" si="732"/>
        <v/>
      </c>
      <c r="AP565" s="12">
        <f t="shared" si="733"/>
        <v>2.13</v>
      </c>
      <c r="AQ565" s="12" t="str">
        <f t="shared" si="734"/>
        <v/>
      </c>
      <c r="AR565" s="12" t="str">
        <f t="shared" si="735"/>
        <v/>
      </c>
      <c r="AS565" s="12" t="str">
        <f t="shared" si="736"/>
        <v/>
      </c>
      <c r="AT565" s="12" t="str">
        <f t="shared" si="737"/>
        <v/>
      </c>
      <c r="AU565" s="12" t="str">
        <f t="shared" si="750"/>
        <v/>
      </c>
      <c r="AV565" s="17"/>
    </row>
    <row r="566" spans="1:48" x14ac:dyDescent="0.25">
      <c r="A566" s="43" t="s">
        <v>374</v>
      </c>
      <c r="B566" s="52" t="s">
        <v>654</v>
      </c>
      <c r="C566" s="44"/>
      <c r="D566" s="43"/>
      <c r="E566" s="52" t="s">
        <v>518</v>
      </c>
      <c r="F566" s="46"/>
      <c r="G566" s="76" t="s">
        <v>939</v>
      </c>
      <c r="H566" s="48" t="s">
        <v>1104</v>
      </c>
      <c r="I566" s="48"/>
      <c r="J566" s="84" t="s">
        <v>1125</v>
      </c>
      <c r="K566" s="85"/>
      <c r="L566" s="47" t="s">
        <v>622</v>
      </c>
      <c r="M566" s="3">
        <f>1.24+0.625</f>
        <v>1.865</v>
      </c>
      <c r="N566" s="3">
        <f t="shared" si="738"/>
        <v>2.9000000000000004</v>
      </c>
      <c r="O566" s="22">
        <v>0.155</v>
      </c>
      <c r="P566" s="23">
        <v>1</v>
      </c>
      <c r="Q566" s="3"/>
      <c r="R566" s="3">
        <f>1.2*2.17</f>
        <v>2.6039999999999996</v>
      </c>
      <c r="S566" s="3"/>
      <c r="T566" s="3"/>
      <c r="U566" s="3"/>
      <c r="V566" s="23"/>
      <c r="W566" s="3"/>
      <c r="X566" s="3"/>
      <c r="Y566" s="17"/>
      <c r="Z566" s="17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12">
        <f t="shared" si="728"/>
        <v>2.8045000000000013</v>
      </c>
      <c r="AL566" s="12">
        <f t="shared" si="729"/>
        <v>2.8045000000000013</v>
      </c>
      <c r="AM566" s="12">
        <f t="shared" si="730"/>
        <v>0.43469750000000018</v>
      </c>
      <c r="AN566" s="12">
        <f t="shared" si="731"/>
        <v>0.43469750000000018</v>
      </c>
      <c r="AO566" s="12" t="str">
        <f t="shared" si="732"/>
        <v/>
      </c>
      <c r="AP566" s="12">
        <f t="shared" si="733"/>
        <v>1.865</v>
      </c>
      <c r="AQ566" s="12" t="str">
        <f t="shared" si="734"/>
        <v/>
      </c>
      <c r="AR566" s="12" t="str">
        <f t="shared" si="735"/>
        <v/>
      </c>
      <c r="AS566" s="12" t="str">
        <f t="shared" si="736"/>
        <v/>
      </c>
      <c r="AT566" s="12" t="str">
        <f t="shared" si="737"/>
        <v/>
      </c>
      <c r="AU566" s="12" t="str">
        <f t="shared" si="750"/>
        <v/>
      </c>
      <c r="AV566" s="17"/>
    </row>
    <row r="567" spans="1:48" x14ac:dyDescent="0.25">
      <c r="A567" s="43" t="s">
        <v>374</v>
      </c>
      <c r="B567" s="52" t="s">
        <v>743</v>
      </c>
      <c r="C567" s="44"/>
      <c r="D567" s="43"/>
      <c r="E567" s="52" t="s">
        <v>518</v>
      </c>
      <c r="F567" s="46"/>
      <c r="G567" s="76" t="s">
        <v>940</v>
      </c>
      <c r="H567" s="48" t="s">
        <v>1106</v>
      </c>
      <c r="I567" s="48"/>
      <c r="J567" s="84" t="s">
        <v>1145</v>
      </c>
      <c r="K567" s="85"/>
      <c r="L567" s="47" t="s">
        <v>622</v>
      </c>
      <c r="M567" s="3">
        <f>4.575</f>
        <v>4.5750000000000002</v>
      </c>
      <c r="N567" s="3">
        <f t="shared" si="738"/>
        <v>2.9000000000000004</v>
      </c>
      <c r="O567" s="22">
        <v>0.155</v>
      </c>
      <c r="P567" s="23">
        <v>1</v>
      </c>
      <c r="Q567" s="3"/>
      <c r="R567" s="3"/>
      <c r="S567" s="3"/>
      <c r="T567" s="3"/>
      <c r="U567" s="3"/>
      <c r="V567" s="23"/>
      <c r="W567" s="3"/>
      <c r="X567" s="3"/>
      <c r="Y567" s="17"/>
      <c r="Z567" s="17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12">
        <f t="shared" si="728"/>
        <v>13.267500000000002</v>
      </c>
      <c r="AL567" s="12">
        <f t="shared" si="729"/>
        <v>13.267500000000002</v>
      </c>
      <c r="AM567" s="12">
        <f t="shared" si="730"/>
        <v>2.0564625000000003</v>
      </c>
      <c r="AN567" s="12">
        <f t="shared" si="731"/>
        <v>2.0564625000000003</v>
      </c>
      <c r="AO567" s="12" t="str">
        <f t="shared" si="732"/>
        <v/>
      </c>
      <c r="AP567" s="12">
        <f t="shared" si="733"/>
        <v>4.5750000000000002</v>
      </c>
      <c r="AQ567" s="12" t="str">
        <f t="shared" si="734"/>
        <v/>
      </c>
      <c r="AR567" s="12" t="str">
        <f t="shared" si="735"/>
        <v/>
      </c>
      <c r="AS567" s="12" t="str">
        <f t="shared" si="736"/>
        <v/>
      </c>
      <c r="AT567" s="12" t="str">
        <f t="shared" si="737"/>
        <v/>
      </c>
      <c r="AU567" s="12" t="str">
        <f t="shared" si="750"/>
        <v/>
      </c>
      <c r="AV567" s="17"/>
    </row>
    <row r="568" spans="1:48" x14ac:dyDescent="0.25">
      <c r="A568" s="43" t="s">
        <v>374</v>
      </c>
      <c r="B568" s="52" t="s">
        <v>744</v>
      </c>
      <c r="C568" s="44"/>
      <c r="D568" s="43"/>
      <c r="E568" s="52" t="s">
        <v>518</v>
      </c>
      <c r="F568" s="46"/>
      <c r="G568" s="76" t="s">
        <v>941</v>
      </c>
      <c r="H568" s="48" t="s">
        <v>1106</v>
      </c>
      <c r="I568" s="48"/>
      <c r="J568" s="84" t="s">
        <v>1145</v>
      </c>
      <c r="K568" s="85"/>
      <c r="L568" s="47" t="s">
        <v>622</v>
      </c>
      <c r="M568" s="3">
        <f>4.575</f>
        <v>4.5750000000000002</v>
      </c>
      <c r="N568" s="3">
        <f t="shared" si="738"/>
        <v>2.9000000000000004</v>
      </c>
      <c r="O568" s="22">
        <v>0.155</v>
      </c>
      <c r="P568" s="23">
        <v>1</v>
      </c>
      <c r="Q568" s="3"/>
      <c r="R568" s="3"/>
      <c r="S568" s="3"/>
      <c r="T568" s="3"/>
      <c r="U568" s="3"/>
      <c r="V568" s="23"/>
      <c r="W568" s="3"/>
      <c r="X568" s="3"/>
      <c r="Y568" s="17"/>
      <c r="Z568" s="17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12">
        <f t="shared" si="728"/>
        <v>13.267500000000002</v>
      </c>
      <c r="AL568" s="12">
        <f t="shared" si="729"/>
        <v>13.267500000000002</v>
      </c>
      <c r="AM568" s="12">
        <f t="shared" si="730"/>
        <v>2.0564625000000003</v>
      </c>
      <c r="AN568" s="12">
        <f t="shared" si="731"/>
        <v>2.0564625000000003</v>
      </c>
      <c r="AO568" s="12" t="str">
        <f t="shared" si="732"/>
        <v/>
      </c>
      <c r="AP568" s="12">
        <f t="shared" si="733"/>
        <v>4.5750000000000002</v>
      </c>
      <c r="AQ568" s="12" t="str">
        <f t="shared" si="734"/>
        <v/>
      </c>
      <c r="AR568" s="12" t="str">
        <f t="shared" si="735"/>
        <v/>
      </c>
      <c r="AS568" s="12" t="str">
        <f t="shared" si="736"/>
        <v/>
      </c>
      <c r="AT568" s="12" t="str">
        <f t="shared" si="737"/>
        <v/>
      </c>
      <c r="AU568" s="12" t="str">
        <f t="shared" si="750"/>
        <v/>
      </c>
      <c r="AV568" s="17"/>
    </row>
    <row r="569" spans="1:48" x14ac:dyDescent="0.25">
      <c r="A569" s="43" t="s">
        <v>374</v>
      </c>
      <c r="B569" s="52" t="s">
        <v>532</v>
      </c>
      <c r="C569" s="44"/>
      <c r="D569" s="43"/>
      <c r="E569" s="52" t="s">
        <v>518</v>
      </c>
      <c r="F569" s="46"/>
      <c r="G569" s="76" t="s">
        <v>942</v>
      </c>
      <c r="H569" s="48" t="s">
        <v>1106</v>
      </c>
      <c r="I569" s="48"/>
      <c r="J569" s="84" t="s">
        <v>1145</v>
      </c>
      <c r="K569" s="85"/>
      <c r="L569" s="47" t="s">
        <v>622</v>
      </c>
      <c r="M569" s="3">
        <f>0.185+1.905+1+0.155</f>
        <v>3.2449999999999997</v>
      </c>
      <c r="N569" s="3">
        <f t="shared" si="738"/>
        <v>2.9000000000000004</v>
      </c>
      <c r="O569" s="22">
        <v>0.155</v>
      </c>
      <c r="P569" s="23">
        <v>1</v>
      </c>
      <c r="Q569" s="3"/>
      <c r="R569" s="3"/>
      <c r="S569" s="3"/>
      <c r="T569" s="3"/>
      <c r="U569" s="3"/>
      <c r="V569" s="23"/>
      <c r="W569" s="3"/>
      <c r="X569" s="3"/>
      <c r="Y569" s="17"/>
      <c r="Z569" s="17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12">
        <f t="shared" si="728"/>
        <v>9.4105000000000008</v>
      </c>
      <c r="AL569" s="12">
        <f t="shared" si="729"/>
        <v>9.4105000000000008</v>
      </c>
      <c r="AM569" s="12">
        <f t="shared" si="730"/>
        <v>1.4586275000000002</v>
      </c>
      <c r="AN569" s="12">
        <f t="shared" si="731"/>
        <v>1.4586275000000002</v>
      </c>
      <c r="AO569" s="12" t="str">
        <f t="shared" si="732"/>
        <v/>
      </c>
      <c r="AP569" s="12">
        <f t="shared" si="733"/>
        <v>3.2449999999999997</v>
      </c>
      <c r="AQ569" s="12" t="str">
        <f t="shared" si="734"/>
        <v/>
      </c>
      <c r="AR569" s="12" t="str">
        <f t="shared" si="735"/>
        <v/>
      </c>
      <c r="AS569" s="12" t="str">
        <f t="shared" si="736"/>
        <v/>
      </c>
      <c r="AT569" s="12" t="str">
        <f t="shared" si="737"/>
        <v/>
      </c>
      <c r="AU569" s="12" t="str">
        <f t="shared" si="750"/>
        <v/>
      </c>
      <c r="AV569" s="17"/>
    </row>
    <row r="570" spans="1:48" x14ac:dyDescent="0.25">
      <c r="A570" s="43" t="s">
        <v>374</v>
      </c>
      <c r="B570" s="52" t="s">
        <v>621</v>
      </c>
      <c r="C570" s="44"/>
      <c r="D570" s="43"/>
      <c r="E570" s="52" t="s">
        <v>518</v>
      </c>
      <c r="F570" s="46"/>
      <c r="G570" s="76" t="s">
        <v>943</v>
      </c>
      <c r="H570" s="48" t="s">
        <v>1106</v>
      </c>
      <c r="I570" s="48"/>
      <c r="J570" s="84" t="s">
        <v>1145</v>
      </c>
      <c r="K570" s="85"/>
      <c r="L570" s="47" t="s">
        <v>622</v>
      </c>
      <c r="M570" s="3">
        <f>0.185+1.9+0.155</f>
        <v>2.2399999999999998</v>
      </c>
      <c r="N570" s="3">
        <f t="shared" si="738"/>
        <v>2.9000000000000004</v>
      </c>
      <c r="O570" s="22">
        <v>0.155</v>
      </c>
      <c r="P570" s="23">
        <v>1</v>
      </c>
      <c r="Q570" s="3"/>
      <c r="R570" s="3"/>
      <c r="S570" s="3"/>
      <c r="T570" s="3"/>
      <c r="U570" s="3"/>
      <c r="V570" s="23"/>
      <c r="W570" s="3"/>
      <c r="X570" s="3"/>
      <c r="Y570" s="17"/>
      <c r="Z570" s="17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12">
        <f t="shared" si="728"/>
        <v>6.4960000000000004</v>
      </c>
      <c r="AL570" s="12">
        <f t="shared" si="729"/>
        <v>6.4960000000000004</v>
      </c>
      <c r="AM570" s="12">
        <f t="shared" si="730"/>
        <v>1.00688</v>
      </c>
      <c r="AN570" s="12">
        <f t="shared" si="731"/>
        <v>1.00688</v>
      </c>
      <c r="AO570" s="12" t="str">
        <f t="shared" si="732"/>
        <v/>
      </c>
      <c r="AP570" s="12">
        <f t="shared" si="733"/>
        <v>2.2399999999999998</v>
      </c>
      <c r="AQ570" s="12" t="str">
        <f t="shared" si="734"/>
        <v/>
      </c>
      <c r="AR570" s="12" t="str">
        <f t="shared" si="735"/>
        <v/>
      </c>
      <c r="AS570" s="12" t="str">
        <f t="shared" si="736"/>
        <v/>
      </c>
      <c r="AT570" s="12" t="str">
        <f t="shared" si="737"/>
        <v/>
      </c>
      <c r="AU570" s="12" t="str">
        <f t="shared" si="750"/>
        <v/>
      </c>
      <c r="AV570" s="17"/>
    </row>
    <row r="571" spans="1:48" x14ac:dyDescent="0.25">
      <c r="A571" s="43" t="s">
        <v>374</v>
      </c>
      <c r="B571" s="52" t="s">
        <v>745</v>
      </c>
      <c r="C571" s="44"/>
      <c r="D571" s="43"/>
      <c r="E571" s="52" t="s">
        <v>518</v>
      </c>
      <c r="F571" s="46"/>
      <c r="G571" s="76" t="s">
        <v>944</v>
      </c>
      <c r="H571" s="48" t="s">
        <v>1106</v>
      </c>
      <c r="I571" s="48"/>
      <c r="J571" s="84" t="s">
        <v>1145</v>
      </c>
      <c r="K571" s="85"/>
      <c r="L571" s="47" t="s">
        <v>622</v>
      </c>
      <c r="M571" s="3">
        <f>4.575</f>
        <v>4.5750000000000002</v>
      </c>
      <c r="N571" s="3">
        <f t="shared" si="738"/>
        <v>2.9000000000000004</v>
      </c>
      <c r="O571" s="22">
        <v>0.155</v>
      </c>
      <c r="P571" s="23">
        <v>1</v>
      </c>
      <c r="Q571" s="3"/>
      <c r="R571" s="3"/>
      <c r="S571" s="3"/>
      <c r="T571" s="3"/>
      <c r="U571" s="3"/>
      <c r="V571" s="23"/>
      <c r="W571" s="3"/>
      <c r="X571" s="3"/>
      <c r="Y571" s="17"/>
      <c r="Z571" s="17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12">
        <f t="shared" si="728"/>
        <v>13.267500000000002</v>
      </c>
      <c r="AL571" s="12">
        <f t="shared" si="729"/>
        <v>13.267500000000002</v>
      </c>
      <c r="AM571" s="12">
        <f t="shared" si="730"/>
        <v>2.0564625000000003</v>
      </c>
      <c r="AN571" s="12">
        <f t="shared" si="731"/>
        <v>2.0564625000000003</v>
      </c>
      <c r="AO571" s="12" t="str">
        <f t="shared" si="732"/>
        <v/>
      </c>
      <c r="AP571" s="12">
        <f t="shared" si="733"/>
        <v>4.5750000000000002</v>
      </c>
      <c r="AQ571" s="12" t="str">
        <f t="shared" si="734"/>
        <v/>
      </c>
      <c r="AR571" s="12" t="str">
        <f t="shared" si="735"/>
        <v/>
      </c>
      <c r="AS571" s="12" t="str">
        <f t="shared" si="736"/>
        <v/>
      </c>
      <c r="AT571" s="12" t="str">
        <f t="shared" si="737"/>
        <v/>
      </c>
      <c r="AU571" s="12" t="str">
        <f t="shared" si="750"/>
        <v/>
      </c>
      <c r="AV571" s="17"/>
    </row>
    <row r="572" spans="1:48" x14ac:dyDescent="0.25">
      <c r="A572" s="43" t="s">
        <v>374</v>
      </c>
      <c r="B572" s="52" t="s">
        <v>746</v>
      </c>
      <c r="C572" s="44"/>
      <c r="D572" s="43"/>
      <c r="E572" s="52" t="s">
        <v>518</v>
      </c>
      <c r="F572" s="46"/>
      <c r="G572" s="76" t="s">
        <v>945</v>
      </c>
      <c r="H572" s="48" t="s">
        <v>1106</v>
      </c>
      <c r="I572" s="48"/>
      <c r="J572" s="84" t="s">
        <v>1145</v>
      </c>
      <c r="K572" s="85"/>
      <c r="L572" s="47" t="s">
        <v>622</v>
      </c>
      <c r="M572" s="3">
        <f>4.575</f>
        <v>4.5750000000000002</v>
      </c>
      <c r="N572" s="3">
        <f t="shared" si="738"/>
        <v>2.9000000000000004</v>
      </c>
      <c r="O572" s="22">
        <v>0.155</v>
      </c>
      <c r="P572" s="23">
        <v>1</v>
      </c>
      <c r="Q572" s="3"/>
      <c r="R572" s="3"/>
      <c r="S572" s="3"/>
      <c r="T572" s="3"/>
      <c r="U572" s="3"/>
      <c r="V572" s="23"/>
      <c r="W572" s="3"/>
      <c r="X572" s="3"/>
      <c r="Y572" s="17"/>
      <c r="Z572" s="17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12">
        <f t="shared" si="728"/>
        <v>13.267500000000002</v>
      </c>
      <c r="AL572" s="12">
        <f t="shared" si="729"/>
        <v>13.267500000000002</v>
      </c>
      <c r="AM572" s="12">
        <f t="shared" si="730"/>
        <v>2.0564625000000003</v>
      </c>
      <c r="AN572" s="12">
        <f t="shared" si="731"/>
        <v>2.0564625000000003</v>
      </c>
      <c r="AO572" s="12" t="str">
        <f t="shared" si="732"/>
        <v/>
      </c>
      <c r="AP572" s="12">
        <f t="shared" si="733"/>
        <v>4.5750000000000002</v>
      </c>
      <c r="AQ572" s="12" t="str">
        <f t="shared" si="734"/>
        <v/>
      </c>
      <c r="AR572" s="12" t="str">
        <f t="shared" si="735"/>
        <v/>
      </c>
      <c r="AS572" s="12" t="str">
        <f t="shared" si="736"/>
        <v/>
      </c>
      <c r="AT572" s="12" t="str">
        <f t="shared" si="737"/>
        <v/>
      </c>
      <c r="AU572" s="12" t="str">
        <f t="shared" si="750"/>
        <v/>
      </c>
      <c r="AV572" s="17"/>
    </row>
    <row r="573" spans="1:48" x14ac:dyDescent="0.25">
      <c r="A573" s="43" t="s">
        <v>374</v>
      </c>
      <c r="B573" s="52" t="s">
        <v>673</v>
      </c>
      <c r="C573" s="44"/>
      <c r="D573" s="43"/>
      <c r="E573" s="52" t="s">
        <v>518</v>
      </c>
      <c r="F573" s="46"/>
      <c r="G573" s="76" t="s">
        <v>946</v>
      </c>
      <c r="H573" s="48" t="s">
        <v>1106</v>
      </c>
      <c r="I573" s="48"/>
      <c r="J573" s="84" t="s">
        <v>1145</v>
      </c>
      <c r="K573" s="85"/>
      <c r="L573" s="47" t="s">
        <v>622</v>
      </c>
      <c r="M573" s="3">
        <f>2.355</f>
        <v>2.355</v>
      </c>
      <c r="N573" s="3">
        <f t="shared" si="738"/>
        <v>2.9000000000000004</v>
      </c>
      <c r="O573" s="22">
        <v>0.155</v>
      </c>
      <c r="P573" s="23">
        <v>1</v>
      </c>
      <c r="Q573" s="3"/>
      <c r="R573" s="3"/>
      <c r="S573" s="3"/>
      <c r="T573" s="3"/>
      <c r="U573" s="3"/>
      <c r="V573" s="23"/>
      <c r="W573" s="3"/>
      <c r="X573" s="3"/>
      <c r="Y573" s="17"/>
      <c r="Z573" s="17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12">
        <f t="shared" si="728"/>
        <v>6.8295000000000003</v>
      </c>
      <c r="AL573" s="12">
        <f t="shared" si="729"/>
        <v>6.8295000000000003</v>
      </c>
      <c r="AM573" s="12">
        <f t="shared" si="730"/>
        <v>1.0585725000000001</v>
      </c>
      <c r="AN573" s="12">
        <f t="shared" si="731"/>
        <v>1.0585725000000001</v>
      </c>
      <c r="AO573" s="12" t="str">
        <f t="shared" si="732"/>
        <v/>
      </c>
      <c r="AP573" s="12">
        <f t="shared" si="733"/>
        <v>2.355</v>
      </c>
      <c r="AQ573" s="12" t="str">
        <f t="shared" si="734"/>
        <v/>
      </c>
      <c r="AR573" s="12" t="str">
        <f t="shared" si="735"/>
        <v/>
      </c>
      <c r="AS573" s="12" t="str">
        <f t="shared" si="736"/>
        <v/>
      </c>
      <c r="AT573" s="12" t="str">
        <f t="shared" si="737"/>
        <v/>
      </c>
      <c r="AU573" s="12" t="str">
        <f t="shared" si="750"/>
        <v/>
      </c>
      <c r="AV573" s="17"/>
    </row>
    <row r="574" spans="1:48" x14ac:dyDescent="0.25">
      <c r="A574" s="43" t="s">
        <v>374</v>
      </c>
      <c r="B574" s="52" t="s">
        <v>673</v>
      </c>
      <c r="C574" s="44"/>
      <c r="D574" s="43"/>
      <c r="E574" s="52" t="s">
        <v>518</v>
      </c>
      <c r="F574" s="46"/>
      <c r="G574" s="76" t="s">
        <v>947</v>
      </c>
      <c r="H574" s="48" t="s">
        <v>1107</v>
      </c>
      <c r="I574" s="48"/>
      <c r="J574" s="84" t="s">
        <v>1145</v>
      </c>
      <c r="K574" s="85"/>
      <c r="L574" s="47" t="s">
        <v>622</v>
      </c>
      <c r="M574" s="3">
        <v>2.665</v>
      </c>
      <c r="N574" s="3">
        <f t="shared" si="738"/>
        <v>2.9000000000000004</v>
      </c>
      <c r="O574" s="22">
        <v>0.3</v>
      </c>
      <c r="P574" s="23">
        <v>1</v>
      </c>
      <c r="Q574" s="3"/>
      <c r="R574" s="3"/>
      <c r="S574" s="3"/>
      <c r="T574" s="3"/>
      <c r="U574" s="3"/>
      <c r="V574" s="23"/>
      <c r="W574" s="3"/>
      <c r="X574" s="3"/>
      <c r="Y574" s="17"/>
      <c r="Z574" s="17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12">
        <f t="shared" si="728"/>
        <v>7.7285000000000013</v>
      </c>
      <c r="AL574" s="12">
        <f t="shared" si="729"/>
        <v>7.7285000000000013</v>
      </c>
      <c r="AM574" s="12">
        <f t="shared" si="730"/>
        <v>2.3185500000000001</v>
      </c>
      <c r="AN574" s="12">
        <f t="shared" si="731"/>
        <v>2.3185500000000001</v>
      </c>
      <c r="AO574" s="12" t="str">
        <f t="shared" si="732"/>
        <v/>
      </c>
      <c r="AP574" s="12">
        <f t="shared" si="733"/>
        <v>2.665</v>
      </c>
      <c r="AQ574" s="12" t="str">
        <f t="shared" si="734"/>
        <v/>
      </c>
      <c r="AR574" s="12" t="str">
        <f t="shared" si="735"/>
        <v/>
      </c>
      <c r="AS574" s="12" t="str">
        <f t="shared" si="736"/>
        <v/>
      </c>
      <c r="AT574" s="12" t="str">
        <f t="shared" si="737"/>
        <v/>
      </c>
      <c r="AU574" s="12" t="str">
        <f t="shared" si="750"/>
        <v/>
      </c>
      <c r="AV574" s="17"/>
    </row>
    <row r="575" spans="1:48" x14ac:dyDescent="0.25">
      <c r="A575" s="43" t="s">
        <v>374</v>
      </c>
      <c r="B575" s="52" t="s">
        <v>747</v>
      </c>
      <c r="C575" s="44"/>
      <c r="D575" s="43"/>
      <c r="E575" s="52" t="s">
        <v>518</v>
      </c>
      <c r="F575" s="46"/>
      <c r="G575" s="76" t="s">
        <v>948</v>
      </c>
      <c r="H575" s="48" t="s">
        <v>1106</v>
      </c>
      <c r="I575" s="48"/>
      <c r="J575" s="84" t="s">
        <v>1145</v>
      </c>
      <c r="K575" s="85"/>
      <c r="L575" s="47" t="s">
        <v>622</v>
      </c>
      <c r="M575" s="3">
        <f>4.575</f>
        <v>4.5750000000000002</v>
      </c>
      <c r="N575" s="3">
        <f t="shared" si="738"/>
        <v>2.9000000000000004</v>
      </c>
      <c r="O575" s="22">
        <v>0.155</v>
      </c>
      <c r="P575" s="23">
        <v>1</v>
      </c>
      <c r="Q575" s="3"/>
      <c r="R575" s="3"/>
      <c r="S575" s="3"/>
      <c r="T575" s="3"/>
      <c r="U575" s="3"/>
      <c r="V575" s="23"/>
      <c r="W575" s="3"/>
      <c r="X575" s="3"/>
      <c r="Y575" s="17"/>
      <c r="Z575" s="17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12">
        <f t="shared" si="728"/>
        <v>13.267500000000002</v>
      </c>
      <c r="AL575" s="12">
        <f t="shared" si="729"/>
        <v>13.267500000000002</v>
      </c>
      <c r="AM575" s="12">
        <f t="shared" si="730"/>
        <v>2.0564625000000003</v>
      </c>
      <c r="AN575" s="12">
        <f t="shared" si="731"/>
        <v>2.0564625000000003</v>
      </c>
      <c r="AO575" s="12" t="str">
        <f t="shared" si="732"/>
        <v/>
      </c>
      <c r="AP575" s="12">
        <f t="shared" si="733"/>
        <v>4.5750000000000002</v>
      </c>
      <c r="AQ575" s="12" t="str">
        <f t="shared" si="734"/>
        <v/>
      </c>
      <c r="AR575" s="12" t="str">
        <f t="shared" si="735"/>
        <v/>
      </c>
      <c r="AS575" s="12" t="str">
        <f t="shared" si="736"/>
        <v/>
      </c>
      <c r="AT575" s="12" t="str">
        <f t="shared" si="737"/>
        <v/>
      </c>
      <c r="AU575" s="12" t="str">
        <f t="shared" si="750"/>
        <v/>
      </c>
      <c r="AV575" s="17"/>
    </row>
    <row r="576" spans="1:48" x14ac:dyDescent="0.25">
      <c r="A576" s="43" t="s">
        <v>374</v>
      </c>
      <c r="B576" s="52" t="s">
        <v>748</v>
      </c>
      <c r="C576" s="44"/>
      <c r="D576" s="43"/>
      <c r="E576" s="52" t="s">
        <v>518</v>
      </c>
      <c r="F576" s="46"/>
      <c r="G576" s="76" t="s">
        <v>949</v>
      </c>
      <c r="H576" s="48" t="s">
        <v>1106</v>
      </c>
      <c r="I576" s="48"/>
      <c r="J576" s="84" t="s">
        <v>1145</v>
      </c>
      <c r="K576" s="85"/>
      <c r="L576" s="47" t="s">
        <v>622</v>
      </c>
      <c r="M576" s="3">
        <f>5.475</f>
        <v>5.4749999999999996</v>
      </c>
      <c r="N576" s="3">
        <f t="shared" si="738"/>
        <v>2.9000000000000004</v>
      </c>
      <c r="O576" s="22">
        <v>0.155</v>
      </c>
      <c r="P576" s="23">
        <v>1</v>
      </c>
      <c r="Q576" s="3"/>
      <c r="R576" s="3"/>
      <c r="S576" s="3"/>
      <c r="T576" s="3"/>
      <c r="U576" s="3"/>
      <c r="V576" s="23"/>
      <c r="W576" s="3"/>
      <c r="X576" s="3"/>
      <c r="Y576" s="17"/>
      <c r="Z576" s="17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12">
        <f t="shared" si="728"/>
        <v>15.877500000000001</v>
      </c>
      <c r="AL576" s="12">
        <f t="shared" si="729"/>
        <v>15.877500000000001</v>
      </c>
      <c r="AM576" s="12">
        <f t="shared" si="730"/>
        <v>2.4610125000000003</v>
      </c>
      <c r="AN576" s="12">
        <f t="shared" si="731"/>
        <v>2.4610125000000003</v>
      </c>
      <c r="AO576" s="12" t="str">
        <f t="shared" si="732"/>
        <v/>
      </c>
      <c r="AP576" s="12">
        <f t="shared" si="733"/>
        <v>5.4749999999999996</v>
      </c>
      <c r="AQ576" s="12" t="str">
        <f t="shared" si="734"/>
        <v/>
      </c>
      <c r="AR576" s="12" t="str">
        <f t="shared" si="735"/>
        <v/>
      </c>
      <c r="AS576" s="12" t="str">
        <f t="shared" si="736"/>
        <v/>
      </c>
      <c r="AT576" s="12" t="str">
        <f t="shared" si="737"/>
        <v/>
      </c>
      <c r="AU576" s="12" t="str">
        <f t="shared" si="750"/>
        <v/>
      </c>
      <c r="AV576" s="17"/>
    </row>
    <row r="577" spans="1:48" x14ac:dyDescent="0.25">
      <c r="A577" s="43" t="s">
        <v>374</v>
      </c>
      <c r="B577" s="52" t="s">
        <v>526</v>
      </c>
      <c r="C577" s="44"/>
      <c r="D577" s="43"/>
      <c r="E577" s="52" t="s">
        <v>716</v>
      </c>
      <c r="F577" s="46"/>
      <c r="G577" s="76" t="s">
        <v>950</v>
      </c>
      <c r="H577" s="48" t="s">
        <v>1108</v>
      </c>
      <c r="I577" s="48"/>
      <c r="J577" s="84" t="s">
        <v>1131</v>
      </c>
      <c r="K577" s="85"/>
      <c r="L577" s="47" t="s">
        <v>567</v>
      </c>
      <c r="M577" s="3">
        <v>2.5</v>
      </c>
      <c r="N577" s="3">
        <f t="shared" si="738"/>
        <v>2.9000000000000004</v>
      </c>
      <c r="O577" s="22">
        <v>0.46500000000000002</v>
      </c>
      <c r="P577" s="23">
        <v>1</v>
      </c>
      <c r="Q577" s="3"/>
      <c r="R577" s="3"/>
      <c r="S577" s="3"/>
      <c r="T577" s="3"/>
      <c r="U577" s="3"/>
      <c r="V577" s="23"/>
      <c r="W577" s="3"/>
      <c r="X577" s="3"/>
      <c r="Y577" s="17"/>
      <c r="Z577" s="17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12">
        <f t="shared" si="728"/>
        <v>7.2500000000000009</v>
      </c>
      <c r="AL577" s="12">
        <f t="shared" si="729"/>
        <v>7.2500000000000009</v>
      </c>
      <c r="AM577" s="12">
        <f t="shared" si="730"/>
        <v>3.3712500000000007</v>
      </c>
      <c r="AN577" s="12">
        <f t="shared" si="731"/>
        <v>3.3712500000000007</v>
      </c>
      <c r="AO577" s="12" t="str">
        <f t="shared" si="732"/>
        <v/>
      </c>
      <c r="AP577" s="12">
        <f t="shared" si="733"/>
        <v>2.5</v>
      </c>
      <c r="AQ577" s="12" t="str">
        <f t="shared" si="734"/>
        <v/>
      </c>
      <c r="AR577" s="12" t="str">
        <f t="shared" si="735"/>
        <v/>
      </c>
      <c r="AS577" s="12" t="str">
        <f t="shared" si="736"/>
        <v/>
      </c>
      <c r="AT577" s="12" t="str">
        <f t="shared" si="737"/>
        <v/>
      </c>
      <c r="AU577" s="12" t="str">
        <f t="shared" si="750"/>
        <v/>
      </c>
      <c r="AV577" s="17"/>
    </row>
    <row r="578" spans="1:48" x14ac:dyDescent="0.25">
      <c r="A578" s="43" t="s">
        <v>374</v>
      </c>
      <c r="B578" s="52" t="s">
        <v>528</v>
      </c>
      <c r="C578" s="44"/>
      <c r="D578" s="43"/>
      <c r="E578" s="52" t="s">
        <v>530</v>
      </c>
      <c r="F578" s="46"/>
      <c r="G578" s="76" t="s">
        <v>951</v>
      </c>
      <c r="H578" s="48" t="s">
        <v>1108</v>
      </c>
      <c r="I578" s="48"/>
      <c r="J578" s="84" t="s">
        <v>1131</v>
      </c>
      <c r="K578" s="85"/>
      <c r="L578" s="47" t="s">
        <v>567</v>
      </c>
      <c r="M578" s="3">
        <v>2.5</v>
      </c>
      <c r="N578" s="3">
        <f t="shared" si="738"/>
        <v>2.9000000000000004</v>
      </c>
      <c r="O578" s="22">
        <v>0.46500000000000002</v>
      </c>
      <c r="P578" s="23">
        <v>1</v>
      </c>
      <c r="Q578" s="3"/>
      <c r="R578" s="3"/>
      <c r="S578" s="3"/>
      <c r="T578" s="3"/>
      <c r="U578" s="3"/>
      <c r="V578" s="23"/>
      <c r="W578" s="3"/>
      <c r="X578" s="3"/>
      <c r="Y578" s="17"/>
      <c r="Z578" s="17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12">
        <f t="shared" si="728"/>
        <v>7.2500000000000009</v>
      </c>
      <c r="AL578" s="12">
        <f t="shared" si="729"/>
        <v>7.2500000000000009</v>
      </c>
      <c r="AM578" s="12">
        <f t="shared" si="730"/>
        <v>3.3712500000000007</v>
      </c>
      <c r="AN578" s="12">
        <f t="shared" si="731"/>
        <v>3.3712500000000007</v>
      </c>
      <c r="AO578" s="12" t="str">
        <f t="shared" si="732"/>
        <v/>
      </c>
      <c r="AP578" s="12">
        <f t="shared" si="733"/>
        <v>2.5</v>
      </c>
      <c r="AQ578" s="12" t="str">
        <f t="shared" si="734"/>
        <v/>
      </c>
      <c r="AR578" s="12" t="str">
        <f t="shared" si="735"/>
        <v/>
      </c>
      <c r="AS578" s="12" t="str">
        <f t="shared" si="736"/>
        <v/>
      </c>
      <c r="AT578" s="12" t="str">
        <f t="shared" si="737"/>
        <v/>
      </c>
      <c r="AU578" s="12" t="str">
        <f t="shared" si="750"/>
        <v/>
      </c>
      <c r="AV578" s="17"/>
    </row>
    <row r="579" spans="1:48" x14ac:dyDescent="0.25">
      <c r="A579" s="43" t="s">
        <v>374</v>
      </c>
      <c r="B579" s="52" t="s">
        <v>532</v>
      </c>
      <c r="C579" s="44"/>
      <c r="D579" s="43"/>
      <c r="E579" s="52"/>
      <c r="F579" s="46"/>
      <c r="G579" s="76" t="s">
        <v>952</v>
      </c>
      <c r="H579" s="48" t="s">
        <v>1090</v>
      </c>
      <c r="I579" s="48"/>
      <c r="J579" s="84" t="s">
        <v>1131</v>
      </c>
      <c r="K579" s="85"/>
      <c r="L579" s="47" t="s">
        <v>562</v>
      </c>
      <c r="M579" s="3">
        <v>2.5</v>
      </c>
      <c r="N579" s="3">
        <f t="shared" si="738"/>
        <v>2.9000000000000004</v>
      </c>
      <c r="O579" s="22">
        <v>0.185</v>
      </c>
      <c r="P579" s="23">
        <v>1</v>
      </c>
      <c r="Q579" s="3"/>
      <c r="R579" s="3"/>
      <c r="S579" s="3"/>
      <c r="T579" s="3"/>
      <c r="U579" s="3"/>
      <c r="V579" s="23"/>
      <c r="W579" s="3"/>
      <c r="X579" s="3"/>
      <c r="Y579" s="17"/>
      <c r="Z579" s="17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12">
        <f t="shared" si="728"/>
        <v>7.2500000000000009</v>
      </c>
      <c r="AL579" s="12">
        <f t="shared" si="729"/>
        <v>7.2500000000000009</v>
      </c>
      <c r="AM579" s="12">
        <f t="shared" si="730"/>
        <v>1.3412500000000001</v>
      </c>
      <c r="AN579" s="12">
        <f t="shared" si="731"/>
        <v>1.3412500000000001</v>
      </c>
      <c r="AO579" s="12" t="str">
        <f t="shared" si="732"/>
        <v/>
      </c>
      <c r="AP579" s="12">
        <f t="shared" si="733"/>
        <v>2.5</v>
      </c>
      <c r="AQ579" s="12" t="str">
        <f t="shared" si="734"/>
        <v/>
      </c>
      <c r="AR579" s="12" t="str">
        <f t="shared" si="735"/>
        <v/>
      </c>
      <c r="AS579" s="12" t="str">
        <f t="shared" si="736"/>
        <v/>
      </c>
      <c r="AT579" s="12" t="str">
        <f t="shared" si="737"/>
        <v/>
      </c>
      <c r="AU579" s="12" t="str">
        <f t="shared" si="750"/>
        <v/>
      </c>
      <c r="AV579" s="17"/>
    </row>
    <row r="580" spans="1:48" x14ac:dyDescent="0.25">
      <c r="A580" s="43" t="s">
        <v>374</v>
      </c>
      <c r="B580" s="52" t="s">
        <v>532</v>
      </c>
      <c r="C580" s="44"/>
      <c r="D580" s="43"/>
      <c r="E580" s="52"/>
      <c r="F580" s="46"/>
      <c r="G580" s="76" t="s">
        <v>1120</v>
      </c>
      <c r="H580" s="48" t="s">
        <v>1110</v>
      </c>
      <c r="I580" s="48"/>
      <c r="J580" s="84" t="s">
        <v>1146</v>
      </c>
      <c r="K580" s="85"/>
      <c r="L580" s="47" t="s">
        <v>1111</v>
      </c>
      <c r="M580" s="3">
        <v>1</v>
      </c>
      <c r="N580" s="3">
        <f t="shared" si="738"/>
        <v>2.9000000000000004</v>
      </c>
      <c r="O580" s="22">
        <v>0.05</v>
      </c>
      <c r="P580" s="23">
        <v>1</v>
      </c>
      <c r="Q580" s="3"/>
      <c r="R580" s="3"/>
      <c r="S580" s="3"/>
      <c r="T580" s="3"/>
      <c r="U580" s="3"/>
      <c r="V580" s="23"/>
      <c r="W580" s="3"/>
      <c r="X580" s="3"/>
      <c r="Y580" s="17"/>
      <c r="Z580" s="17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12">
        <f t="shared" si="728"/>
        <v>2.9000000000000004</v>
      </c>
      <c r="AL580" s="12">
        <f t="shared" si="729"/>
        <v>2.9000000000000004</v>
      </c>
      <c r="AM580" s="12">
        <f t="shared" si="730"/>
        <v>0.14500000000000002</v>
      </c>
      <c r="AN580" s="12">
        <f t="shared" si="731"/>
        <v>0.14500000000000002</v>
      </c>
      <c r="AO580" s="12" t="str">
        <f t="shared" si="732"/>
        <v/>
      </c>
      <c r="AP580" s="12">
        <f t="shared" si="733"/>
        <v>1</v>
      </c>
      <c r="AQ580" s="12" t="str">
        <f t="shared" si="734"/>
        <v/>
      </c>
      <c r="AR580" s="12" t="str">
        <f t="shared" si="735"/>
        <v/>
      </c>
      <c r="AS580" s="12" t="str">
        <f t="shared" si="736"/>
        <v/>
      </c>
      <c r="AT580" s="12" t="str">
        <f t="shared" si="737"/>
        <v/>
      </c>
      <c r="AU580" s="12" t="str">
        <f t="shared" si="750"/>
        <v/>
      </c>
      <c r="AV580" s="17"/>
    </row>
    <row r="581" spans="1:48" x14ac:dyDescent="0.25">
      <c r="A581" s="43" t="s">
        <v>374</v>
      </c>
      <c r="B581" s="52" t="s">
        <v>532</v>
      </c>
      <c r="C581" s="44"/>
      <c r="D581" s="43"/>
      <c r="E581" s="52"/>
      <c r="F581" s="46"/>
      <c r="G581" s="76" t="s">
        <v>1120</v>
      </c>
      <c r="H581" s="48" t="s">
        <v>1110</v>
      </c>
      <c r="I581" s="48"/>
      <c r="J581" s="84" t="s">
        <v>1146</v>
      </c>
      <c r="K581" s="85"/>
      <c r="L581" s="47" t="s">
        <v>1111</v>
      </c>
      <c r="M581" s="3">
        <v>1</v>
      </c>
      <c r="N581" s="3">
        <f t="shared" si="738"/>
        <v>2.9000000000000004</v>
      </c>
      <c r="O581" s="22">
        <v>0.05</v>
      </c>
      <c r="P581" s="23">
        <v>1</v>
      </c>
      <c r="Q581" s="3"/>
      <c r="R581" s="3"/>
      <c r="S581" s="3"/>
      <c r="T581" s="3"/>
      <c r="U581" s="3"/>
      <c r="V581" s="23"/>
      <c r="W581" s="3"/>
      <c r="X581" s="3"/>
      <c r="Y581" s="17"/>
      <c r="Z581" s="17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12">
        <f t="shared" si="728"/>
        <v>2.9000000000000004</v>
      </c>
      <c r="AL581" s="12">
        <f t="shared" si="729"/>
        <v>2.9000000000000004</v>
      </c>
      <c r="AM581" s="12">
        <f t="shared" si="730"/>
        <v>0.14500000000000002</v>
      </c>
      <c r="AN581" s="12">
        <f t="shared" si="731"/>
        <v>0.14500000000000002</v>
      </c>
      <c r="AO581" s="12" t="str">
        <f t="shared" si="732"/>
        <v/>
      </c>
      <c r="AP581" s="12">
        <f t="shared" si="733"/>
        <v>1</v>
      </c>
      <c r="AQ581" s="12" t="str">
        <f t="shared" si="734"/>
        <v/>
      </c>
      <c r="AR581" s="12" t="str">
        <f t="shared" si="735"/>
        <v/>
      </c>
      <c r="AS581" s="12" t="str">
        <f t="shared" si="736"/>
        <v/>
      </c>
      <c r="AT581" s="12" t="str">
        <f t="shared" si="737"/>
        <v/>
      </c>
      <c r="AU581" s="12" t="str">
        <f t="shared" si="750"/>
        <v/>
      </c>
      <c r="AV581" s="17"/>
    </row>
    <row r="582" spans="1:48" x14ac:dyDescent="0.25">
      <c r="A582" s="43" t="s">
        <v>374</v>
      </c>
      <c r="B582" s="52" t="s">
        <v>621</v>
      </c>
      <c r="C582" s="44"/>
      <c r="D582" s="43"/>
      <c r="E582" s="52"/>
      <c r="F582" s="46"/>
      <c r="G582" s="76" t="s">
        <v>953</v>
      </c>
      <c r="H582" s="48" t="s">
        <v>1090</v>
      </c>
      <c r="I582" s="48"/>
      <c r="J582" s="84" t="s">
        <v>1131</v>
      </c>
      <c r="K582" s="85"/>
      <c r="L582" s="47" t="s">
        <v>562</v>
      </c>
      <c r="M582" s="3">
        <v>2.5</v>
      </c>
      <c r="N582" s="3">
        <f t="shared" si="738"/>
        <v>2.9000000000000004</v>
      </c>
      <c r="O582" s="22">
        <v>0.185</v>
      </c>
      <c r="P582" s="23">
        <v>1</v>
      </c>
      <c r="Q582" s="3"/>
      <c r="R582" s="3"/>
      <c r="S582" s="3"/>
      <c r="T582" s="3"/>
      <c r="U582" s="3"/>
      <c r="V582" s="23"/>
      <c r="W582" s="3"/>
      <c r="X582" s="3"/>
      <c r="Y582" s="17"/>
      <c r="Z582" s="17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12">
        <f t="shared" si="728"/>
        <v>7.2500000000000009</v>
      </c>
      <c r="AL582" s="12">
        <f t="shared" si="729"/>
        <v>7.2500000000000009</v>
      </c>
      <c r="AM582" s="12">
        <f t="shared" si="730"/>
        <v>1.3412500000000001</v>
      </c>
      <c r="AN582" s="12">
        <f t="shared" si="731"/>
        <v>1.3412500000000001</v>
      </c>
      <c r="AO582" s="12" t="str">
        <f t="shared" si="732"/>
        <v/>
      </c>
      <c r="AP582" s="12">
        <f t="shared" si="733"/>
        <v>2.5</v>
      </c>
      <c r="AQ582" s="12" t="str">
        <f t="shared" si="734"/>
        <v/>
      </c>
      <c r="AR582" s="12" t="str">
        <f t="shared" si="735"/>
        <v/>
      </c>
      <c r="AS582" s="12" t="str">
        <f t="shared" si="736"/>
        <v/>
      </c>
      <c r="AT582" s="12" t="str">
        <f t="shared" si="737"/>
        <v/>
      </c>
      <c r="AU582" s="12" t="str">
        <f t="shared" si="750"/>
        <v/>
      </c>
      <c r="AV582" s="17"/>
    </row>
    <row r="583" spans="1:48" x14ac:dyDescent="0.25">
      <c r="A583" s="43" t="s">
        <v>374</v>
      </c>
      <c r="B583" s="52" t="s">
        <v>621</v>
      </c>
      <c r="C583" s="44"/>
      <c r="D583" s="43"/>
      <c r="E583" s="52"/>
      <c r="F583" s="46"/>
      <c r="G583" s="76" t="s">
        <v>1121</v>
      </c>
      <c r="H583" s="48" t="s">
        <v>1110</v>
      </c>
      <c r="I583" s="48"/>
      <c r="J583" s="84" t="s">
        <v>1146</v>
      </c>
      <c r="K583" s="85"/>
      <c r="L583" s="47" t="s">
        <v>1111</v>
      </c>
      <c r="M583" s="3">
        <v>0.78</v>
      </c>
      <c r="N583" s="3">
        <f t="shared" si="738"/>
        <v>2.9000000000000004</v>
      </c>
      <c r="O583" s="22">
        <v>0.05</v>
      </c>
      <c r="P583" s="23">
        <v>1</v>
      </c>
      <c r="Q583" s="3"/>
      <c r="R583" s="3"/>
      <c r="S583" s="3"/>
      <c r="T583" s="3"/>
      <c r="U583" s="3"/>
      <c r="V583" s="23"/>
      <c r="W583" s="3"/>
      <c r="X583" s="3"/>
      <c r="Y583" s="17"/>
      <c r="Z583" s="17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12">
        <f t="shared" si="728"/>
        <v>2.2620000000000005</v>
      </c>
      <c r="AL583" s="12">
        <f t="shared" si="729"/>
        <v>2.2620000000000005</v>
      </c>
      <c r="AM583" s="12">
        <f t="shared" si="730"/>
        <v>0.11310000000000003</v>
      </c>
      <c r="AN583" s="12">
        <f t="shared" si="731"/>
        <v>0.11310000000000003</v>
      </c>
      <c r="AO583" s="12" t="str">
        <f t="shared" si="732"/>
        <v/>
      </c>
      <c r="AP583" s="12">
        <f t="shared" si="733"/>
        <v>0.78</v>
      </c>
      <c r="AQ583" s="12" t="str">
        <f t="shared" si="734"/>
        <v/>
      </c>
      <c r="AR583" s="12" t="str">
        <f t="shared" si="735"/>
        <v/>
      </c>
      <c r="AS583" s="12" t="str">
        <f t="shared" si="736"/>
        <v/>
      </c>
      <c r="AT583" s="12" t="str">
        <f t="shared" si="737"/>
        <v/>
      </c>
      <c r="AU583" s="12" t="str">
        <f t="shared" si="750"/>
        <v/>
      </c>
      <c r="AV583" s="17"/>
    </row>
    <row r="584" spans="1:48" x14ac:dyDescent="0.25">
      <c r="A584" s="43" t="s">
        <v>374</v>
      </c>
      <c r="B584" s="52" t="s">
        <v>624</v>
      </c>
      <c r="C584" s="44"/>
      <c r="D584" s="43"/>
      <c r="E584" s="52" t="s">
        <v>771</v>
      </c>
      <c r="F584" s="46"/>
      <c r="G584" s="76" t="s">
        <v>954</v>
      </c>
      <c r="H584" s="48" t="s">
        <v>1108</v>
      </c>
      <c r="I584" s="48"/>
      <c r="J584" s="84" t="s">
        <v>1131</v>
      </c>
      <c r="K584" s="85"/>
      <c r="L584" s="47" t="s">
        <v>567</v>
      </c>
      <c r="M584" s="3">
        <v>2.5</v>
      </c>
      <c r="N584" s="3">
        <f t="shared" si="738"/>
        <v>2.9000000000000004</v>
      </c>
      <c r="O584" s="22">
        <v>0.46500000000000002</v>
      </c>
      <c r="P584" s="23">
        <v>1</v>
      </c>
      <c r="Q584" s="3"/>
      <c r="R584" s="3"/>
      <c r="S584" s="3"/>
      <c r="T584" s="3"/>
      <c r="U584" s="3"/>
      <c r="V584" s="23"/>
      <c r="W584" s="3"/>
      <c r="X584" s="3"/>
      <c r="Y584" s="17"/>
      <c r="Z584" s="17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12">
        <f t="shared" si="728"/>
        <v>7.2500000000000009</v>
      </c>
      <c r="AL584" s="12">
        <f t="shared" si="729"/>
        <v>7.2500000000000009</v>
      </c>
      <c r="AM584" s="12">
        <f t="shared" si="730"/>
        <v>3.3712500000000007</v>
      </c>
      <c r="AN584" s="12">
        <f t="shared" si="731"/>
        <v>3.3712500000000007</v>
      </c>
      <c r="AO584" s="12" t="str">
        <f t="shared" si="732"/>
        <v/>
      </c>
      <c r="AP584" s="12">
        <f t="shared" si="733"/>
        <v>2.5</v>
      </c>
      <c r="AQ584" s="12" t="str">
        <f t="shared" si="734"/>
        <v/>
      </c>
      <c r="AR584" s="12" t="str">
        <f t="shared" si="735"/>
        <v/>
      </c>
      <c r="AS584" s="12" t="str">
        <f t="shared" si="736"/>
        <v/>
      </c>
      <c r="AT584" s="12" t="str">
        <f t="shared" si="737"/>
        <v/>
      </c>
      <c r="AU584" s="12" t="str">
        <f t="shared" si="750"/>
        <v/>
      </c>
      <c r="AV584" s="17"/>
    </row>
    <row r="585" spans="1:48" x14ac:dyDescent="0.25">
      <c r="A585" s="43" t="s">
        <v>374</v>
      </c>
      <c r="B585" s="52" t="s">
        <v>533</v>
      </c>
      <c r="C585" s="44"/>
      <c r="D585" s="43"/>
      <c r="E585" s="52" t="s">
        <v>676</v>
      </c>
      <c r="F585" s="46"/>
      <c r="G585" s="76" t="s">
        <v>955</v>
      </c>
      <c r="H585" s="48" t="s">
        <v>1108</v>
      </c>
      <c r="I585" s="48"/>
      <c r="J585" s="84" t="s">
        <v>1131</v>
      </c>
      <c r="K585" s="85"/>
      <c r="L585" s="47" t="s">
        <v>567</v>
      </c>
      <c r="M585" s="3">
        <v>2.5</v>
      </c>
      <c r="N585" s="3">
        <f t="shared" si="738"/>
        <v>2.9000000000000004</v>
      </c>
      <c r="O585" s="22">
        <v>0.46500000000000002</v>
      </c>
      <c r="P585" s="23">
        <v>1</v>
      </c>
      <c r="Q585" s="3"/>
      <c r="R585" s="3"/>
      <c r="S585" s="3"/>
      <c r="T585" s="3"/>
      <c r="U585" s="3"/>
      <c r="V585" s="23"/>
      <c r="W585" s="3"/>
      <c r="X585" s="3"/>
      <c r="Y585" s="17"/>
      <c r="Z585" s="17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12">
        <f t="shared" si="728"/>
        <v>7.2500000000000009</v>
      </c>
      <c r="AL585" s="12">
        <f t="shared" si="729"/>
        <v>7.2500000000000009</v>
      </c>
      <c r="AM585" s="12">
        <f t="shared" si="730"/>
        <v>3.3712500000000007</v>
      </c>
      <c r="AN585" s="12">
        <f t="shared" si="731"/>
        <v>3.3712500000000007</v>
      </c>
      <c r="AO585" s="12" t="str">
        <f t="shared" si="732"/>
        <v/>
      </c>
      <c r="AP585" s="12">
        <f t="shared" si="733"/>
        <v>2.5</v>
      </c>
      <c r="AQ585" s="12" t="str">
        <f t="shared" si="734"/>
        <v/>
      </c>
      <c r="AR585" s="12" t="str">
        <f t="shared" si="735"/>
        <v/>
      </c>
      <c r="AS585" s="12" t="str">
        <f t="shared" si="736"/>
        <v/>
      </c>
      <c r="AT585" s="12" t="str">
        <f t="shared" si="737"/>
        <v/>
      </c>
      <c r="AU585" s="12" t="str">
        <f t="shared" si="750"/>
        <v/>
      </c>
      <c r="AV585" s="17"/>
    </row>
    <row r="586" spans="1:48" x14ac:dyDescent="0.25">
      <c r="A586" s="43" t="s">
        <v>374</v>
      </c>
      <c r="B586" s="52" t="s">
        <v>656</v>
      </c>
      <c r="C586" s="44"/>
      <c r="D586" s="43"/>
      <c r="E586" s="52" t="s">
        <v>650</v>
      </c>
      <c r="F586" s="46"/>
      <c r="G586" s="76" t="s">
        <v>956</v>
      </c>
      <c r="H586" s="48" t="s">
        <v>1108</v>
      </c>
      <c r="I586" s="48"/>
      <c r="J586" s="84" t="s">
        <v>1131</v>
      </c>
      <c r="K586" s="85"/>
      <c r="L586" s="47" t="s">
        <v>567</v>
      </c>
      <c r="M586" s="3">
        <v>2.5</v>
      </c>
      <c r="N586" s="3">
        <f t="shared" si="738"/>
        <v>2.9000000000000004</v>
      </c>
      <c r="O586" s="22">
        <v>0.46500000000000002</v>
      </c>
      <c r="P586" s="23">
        <v>1</v>
      </c>
      <c r="Q586" s="3"/>
      <c r="R586" s="3"/>
      <c r="S586" s="3"/>
      <c r="T586" s="3"/>
      <c r="U586" s="3"/>
      <c r="V586" s="23"/>
      <c r="W586" s="3"/>
      <c r="X586" s="3"/>
      <c r="Y586" s="17"/>
      <c r="Z586" s="17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12">
        <f t="shared" si="728"/>
        <v>7.2500000000000009</v>
      </c>
      <c r="AL586" s="12">
        <f t="shared" si="729"/>
        <v>7.2500000000000009</v>
      </c>
      <c r="AM586" s="12">
        <f t="shared" si="730"/>
        <v>3.3712500000000007</v>
      </c>
      <c r="AN586" s="12">
        <f t="shared" si="731"/>
        <v>3.3712500000000007</v>
      </c>
      <c r="AO586" s="12" t="str">
        <f t="shared" si="732"/>
        <v/>
      </c>
      <c r="AP586" s="12">
        <f t="shared" si="733"/>
        <v>2.5</v>
      </c>
      <c r="AQ586" s="12" t="str">
        <f t="shared" si="734"/>
        <v/>
      </c>
      <c r="AR586" s="12" t="str">
        <f t="shared" si="735"/>
        <v/>
      </c>
      <c r="AS586" s="12" t="str">
        <f t="shared" si="736"/>
        <v/>
      </c>
      <c r="AT586" s="12" t="str">
        <f t="shared" si="737"/>
        <v/>
      </c>
      <c r="AU586" s="12" t="str">
        <f t="shared" si="750"/>
        <v/>
      </c>
      <c r="AV586" s="17"/>
    </row>
    <row r="587" spans="1:48" x14ac:dyDescent="0.25">
      <c r="A587" s="43" t="s">
        <v>374</v>
      </c>
      <c r="B587" s="52" t="s">
        <v>653</v>
      </c>
      <c r="C587" s="44"/>
      <c r="D587" s="43"/>
      <c r="E587" s="52" t="s">
        <v>645</v>
      </c>
      <c r="F587" s="46"/>
      <c r="G587" s="76" t="s">
        <v>957</v>
      </c>
      <c r="H587" s="48" t="s">
        <v>1115</v>
      </c>
      <c r="I587" s="48"/>
      <c r="J587" s="84" t="s">
        <v>1131</v>
      </c>
      <c r="K587" s="85"/>
      <c r="L587" s="47" t="s">
        <v>567</v>
      </c>
      <c r="M587" s="3">
        <v>2.15</v>
      </c>
      <c r="N587" s="3">
        <f t="shared" si="738"/>
        <v>2.9000000000000004</v>
      </c>
      <c r="O587" s="22">
        <v>0.26500000000000001</v>
      </c>
      <c r="P587" s="23">
        <v>1</v>
      </c>
      <c r="Q587" s="3"/>
      <c r="R587" s="3"/>
      <c r="S587" s="3"/>
      <c r="T587" s="3"/>
      <c r="U587" s="3"/>
      <c r="V587" s="23"/>
      <c r="W587" s="3"/>
      <c r="X587" s="3"/>
      <c r="Y587" s="17"/>
      <c r="Z587" s="17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12">
        <f t="shared" si="728"/>
        <v>6.2350000000000003</v>
      </c>
      <c r="AL587" s="12">
        <f t="shared" si="729"/>
        <v>6.2350000000000003</v>
      </c>
      <c r="AM587" s="12">
        <f t="shared" si="730"/>
        <v>1.6522750000000002</v>
      </c>
      <c r="AN587" s="12">
        <f t="shared" si="731"/>
        <v>1.6522750000000002</v>
      </c>
      <c r="AO587" s="12" t="str">
        <f t="shared" si="732"/>
        <v/>
      </c>
      <c r="AP587" s="12">
        <f t="shared" si="733"/>
        <v>2.15</v>
      </c>
      <c r="AQ587" s="12" t="str">
        <f t="shared" si="734"/>
        <v/>
      </c>
      <c r="AR587" s="12" t="str">
        <f t="shared" si="735"/>
        <v/>
      </c>
      <c r="AS587" s="12" t="str">
        <f t="shared" si="736"/>
        <v/>
      </c>
      <c r="AT587" s="12" t="str">
        <f t="shared" si="737"/>
        <v/>
      </c>
      <c r="AU587" s="12" t="str">
        <f t="shared" si="750"/>
        <v/>
      </c>
      <c r="AV587" s="17"/>
    </row>
    <row r="588" spans="1:48" x14ac:dyDescent="0.25">
      <c r="A588" s="43" t="s">
        <v>374</v>
      </c>
      <c r="B588" s="52" t="s">
        <v>525</v>
      </c>
      <c r="C588" s="44"/>
      <c r="D588" s="43"/>
      <c r="E588" s="52" t="s">
        <v>526</v>
      </c>
      <c r="F588" s="46"/>
      <c r="G588" s="76" t="s">
        <v>958</v>
      </c>
      <c r="H588" s="48" t="s">
        <v>1093</v>
      </c>
      <c r="I588" s="48"/>
      <c r="J588" s="84" t="s">
        <v>1132</v>
      </c>
      <c r="K588" s="85"/>
      <c r="L588" s="47"/>
      <c r="M588" s="3">
        <v>1.51</v>
      </c>
      <c r="N588" s="3">
        <f t="shared" si="738"/>
        <v>2.9000000000000004</v>
      </c>
      <c r="O588" s="22">
        <v>0.1</v>
      </c>
      <c r="P588" s="23">
        <v>1</v>
      </c>
      <c r="Q588" s="3"/>
      <c r="R588" s="3">
        <f>1.1*2.17</f>
        <v>2.387</v>
      </c>
      <c r="S588" s="3"/>
      <c r="T588" s="3"/>
      <c r="U588" s="3"/>
      <c r="V588" s="23"/>
      <c r="W588" s="3"/>
      <c r="X588" s="3"/>
      <c r="Y588" s="17"/>
      <c r="Z588" s="17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12">
        <f t="shared" si="728"/>
        <v>1.9920000000000004</v>
      </c>
      <c r="AL588" s="12">
        <f t="shared" si="729"/>
        <v>1.9920000000000004</v>
      </c>
      <c r="AM588" s="12">
        <f t="shared" si="730"/>
        <v>0.19920000000000004</v>
      </c>
      <c r="AN588" s="12">
        <f t="shared" si="731"/>
        <v>0.19920000000000004</v>
      </c>
      <c r="AO588" s="12" t="str">
        <f t="shared" si="732"/>
        <v/>
      </c>
      <c r="AP588" s="12">
        <f t="shared" si="733"/>
        <v>1.51</v>
      </c>
      <c r="AQ588" s="12" t="str">
        <f t="shared" si="734"/>
        <v/>
      </c>
      <c r="AR588" s="12" t="str">
        <f t="shared" si="735"/>
        <v/>
      </c>
      <c r="AS588" s="12" t="str">
        <f t="shared" si="736"/>
        <v/>
      </c>
      <c r="AT588" s="12" t="str">
        <f t="shared" si="737"/>
        <v/>
      </c>
      <c r="AU588" s="12" t="str">
        <f t="shared" si="750"/>
        <v/>
      </c>
      <c r="AV588" s="17"/>
    </row>
    <row r="589" spans="1:48" x14ac:dyDescent="0.25">
      <c r="A589" s="43" t="s">
        <v>374</v>
      </c>
      <c r="B589" s="52" t="s">
        <v>518</v>
      </c>
      <c r="C589" s="44"/>
      <c r="D589" s="43"/>
      <c r="E589" s="52"/>
      <c r="F589" s="46"/>
      <c r="G589" s="76" t="s">
        <v>1156</v>
      </c>
      <c r="H589" s="48" t="s">
        <v>1104</v>
      </c>
      <c r="I589" s="48"/>
      <c r="J589" s="84" t="s">
        <v>1132</v>
      </c>
      <c r="K589" s="85"/>
      <c r="L589" s="47"/>
      <c r="M589" s="3">
        <v>1.155</v>
      </c>
      <c r="N589" s="3">
        <f t="shared" si="738"/>
        <v>2.9000000000000004</v>
      </c>
      <c r="O589" s="22">
        <v>0.155</v>
      </c>
      <c r="P589" s="23">
        <v>6</v>
      </c>
      <c r="Q589" s="3"/>
      <c r="R589" s="3"/>
      <c r="S589" s="3"/>
      <c r="T589" s="3"/>
      <c r="U589" s="3"/>
      <c r="V589" s="23"/>
      <c r="W589" s="3"/>
      <c r="X589" s="3"/>
      <c r="Y589" s="17"/>
      <c r="Z589" s="17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12">
        <f t="shared" si="728"/>
        <v>3.3495000000000004</v>
      </c>
      <c r="AL589" s="12">
        <f t="shared" si="729"/>
        <v>20.097000000000001</v>
      </c>
      <c r="AM589" s="12">
        <f t="shared" si="730"/>
        <v>0.51917250000000004</v>
      </c>
      <c r="AN589" s="12">
        <f t="shared" si="731"/>
        <v>3.1150350000000002</v>
      </c>
      <c r="AO589" s="12" t="str">
        <f t="shared" si="732"/>
        <v/>
      </c>
      <c r="AP589" s="12">
        <f t="shared" si="733"/>
        <v>6.93</v>
      </c>
      <c r="AQ589" s="12" t="str">
        <f t="shared" si="734"/>
        <v/>
      </c>
      <c r="AR589" s="12" t="str">
        <f t="shared" si="735"/>
        <v/>
      </c>
      <c r="AS589" s="12" t="str">
        <f t="shared" si="736"/>
        <v/>
      </c>
      <c r="AT589" s="12" t="str">
        <f t="shared" si="737"/>
        <v/>
      </c>
      <c r="AU589" s="12" t="str">
        <f t="shared" ref="AU589:AU606" si="751">IF(OR(H589="s1",H589="s2",H589="s3",H589="s4",H589="s4*",H589="s5",H589="s12",H589="s16"),IF(M589&gt;=4,M589,""),"")</f>
        <v/>
      </c>
      <c r="AV589" s="17"/>
    </row>
    <row r="590" spans="1:48" x14ac:dyDescent="0.25">
      <c r="A590" s="43" t="s">
        <v>374</v>
      </c>
      <c r="B590" s="52" t="s">
        <v>715</v>
      </c>
      <c r="C590" s="44"/>
      <c r="D590" s="43"/>
      <c r="E590" s="52" t="s">
        <v>716</v>
      </c>
      <c r="F590" s="46"/>
      <c r="G590" s="76" t="s">
        <v>959</v>
      </c>
      <c r="H590" s="48" t="s">
        <v>1093</v>
      </c>
      <c r="I590" s="48"/>
      <c r="J590" s="84" t="s">
        <v>1132</v>
      </c>
      <c r="K590" s="85"/>
      <c r="L590" s="47"/>
      <c r="M590" s="3">
        <v>1.51</v>
      </c>
      <c r="N590" s="3">
        <f t="shared" si="738"/>
        <v>2.9000000000000004</v>
      </c>
      <c r="O590" s="22">
        <v>0.1</v>
      </c>
      <c r="P590" s="23">
        <v>1</v>
      </c>
      <c r="Q590" s="3"/>
      <c r="R590" s="3">
        <f t="shared" ref="R590:R604" si="752">1.1*2.17</f>
        <v>2.387</v>
      </c>
      <c r="S590" s="3"/>
      <c r="T590" s="3"/>
      <c r="U590" s="3"/>
      <c r="V590" s="23"/>
      <c r="W590" s="3"/>
      <c r="X590" s="3"/>
      <c r="Y590" s="17"/>
      <c r="Z590" s="17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12">
        <f t="shared" si="728"/>
        <v>1.9920000000000004</v>
      </c>
      <c r="AL590" s="12">
        <f t="shared" si="729"/>
        <v>1.9920000000000004</v>
      </c>
      <c r="AM590" s="12">
        <f t="shared" si="730"/>
        <v>0.19920000000000004</v>
      </c>
      <c r="AN590" s="12">
        <f t="shared" si="731"/>
        <v>0.19920000000000004</v>
      </c>
      <c r="AO590" s="12" t="str">
        <f t="shared" si="732"/>
        <v/>
      </c>
      <c r="AP590" s="12">
        <f t="shared" si="733"/>
        <v>1.51</v>
      </c>
      <c r="AQ590" s="12" t="str">
        <f t="shared" si="734"/>
        <v/>
      </c>
      <c r="AR590" s="12" t="str">
        <f t="shared" si="735"/>
        <v/>
      </c>
      <c r="AS590" s="12" t="str">
        <f t="shared" si="736"/>
        <v/>
      </c>
      <c r="AT590" s="12" t="str">
        <f t="shared" si="737"/>
        <v/>
      </c>
      <c r="AU590" s="12" t="str">
        <f t="shared" si="751"/>
        <v/>
      </c>
      <c r="AV590" s="17"/>
    </row>
    <row r="591" spans="1:48" x14ac:dyDescent="0.25">
      <c r="A591" s="43" t="s">
        <v>374</v>
      </c>
      <c r="B591" s="52" t="s">
        <v>527</v>
      </c>
      <c r="C591" s="44"/>
      <c r="D591" s="43"/>
      <c r="E591" s="52" t="s">
        <v>528</v>
      </c>
      <c r="F591" s="46"/>
      <c r="G591" s="76" t="s">
        <v>960</v>
      </c>
      <c r="H591" s="48" t="s">
        <v>1093</v>
      </c>
      <c r="I591" s="48"/>
      <c r="J591" s="84" t="s">
        <v>1132</v>
      </c>
      <c r="K591" s="85"/>
      <c r="L591" s="47"/>
      <c r="M591" s="3">
        <v>1.51</v>
      </c>
      <c r="N591" s="3">
        <f t="shared" si="738"/>
        <v>2.9000000000000004</v>
      </c>
      <c r="O591" s="22">
        <v>0.1</v>
      </c>
      <c r="P591" s="23">
        <v>1</v>
      </c>
      <c r="Q591" s="3"/>
      <c r="R591" s="3">
        <f t="shared" si="752"/>
        <v>2.387</v>
      </c>
      <c r="S591" s="3"/>
      <c r="T591" s="3"/>
      <c r="U591" s="3"/>
      <c r="V591" s="23"/>
      <c r="W591" s="3"/>
      <c r="X591" s="3"/>
      <c r="Y591" s="17"/>
      <c r="Z591" s="17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12">
        <f t="shared" si="728"/>
        <v>1.9920000000000004</v>
      </c>
      <c r="AL591" s="12">
        <f t="shared" si="729"/>
        <v>1.9920000000000004</v>
      </c>
      <c r="AM591" s="12">
        <f t="shared" si="730"/>
        <v>0.19920000000000004</v>
      </c>
      <c r="AN591" s="12">
        <f t="shared" si="731"/>
        <v>0.19920000000000004</v>
      </c>
      <c r="AO591" s="12" t="str">
        <f t="shared" si="732"/>
        <v/>
      </c>
      <c r="AP591" s="12">
        <f t="shared" si="733"/>
        <v>1.51</v>
      </c>
      <c r="AQ591" s="12" t="str">
        <f t="shared" si="734"/>
        <v/>
      </c>
      <c r="AR591" s="12" t="str">
        <f t="shared" si="735"/>
        <v/>
      </c>
      <c r="AS591" s="12" t="str">
        <f t="shared" si="736"/>
        <v/>
      </c>
      <c r="AT591" s="12" t="str">
        <f t="shared" si="737"/>
        <v/>
      </c>
      <c r="AU591" s="12" t="str">
        <f t="shared" si="751"/>
        <v/>
      </c>
      <c r="AV591" s="17"/>
    </row>
    <row r="592" spans="1:48" x14ac:dyDescent="0.25">
      <c r="A592" s="43" t="s">
        <v>374</v>
      </c>
      <c r="B592" s="52" t="s">
        <v>529</v>
      </c>
      <c r="C592" s="44"/>
      <c r="D592" s="43"/>
      <c r="E592" s="52" t="s">
        <v>530</v>
      </c>
      <c r="F592" s="46"/>
      <c r="G592" s="76" t="s">
        <v>961</v>
      </c>
      <c r="H592" s="48" t="s">
        <v>1093</v>
      </c>
      <c r="I592" s="48"/>
      <c r="J592" s="84" t="s">
        <v>1132</v>
      </c>
      <c r="K592" s="85"/>
      <c r="L592" s="47"/>
      <c r="M592" s="3">
        <v>1.51</v>
      </c>
      <c r="N592" s="3">
        <f t="shared" si="738"/>
        <v>2.9000000000000004</v>
      </c>
      <c r="O592" s="22">
        <v>0.1</v>
      </c>
      <c r="P592" s="23">
        <v>1</v>
      </c>
      <c r="Q592" s="3"/>
      <c r="R592" s="3">
        <f t="shared" si="752"/>
        <v>2.387</v>
      </c>
      <c r="S592" s="3"/>
      <c r="T592" s="3"/>
      <c r="U592" s="3"/>
      <c r="V592" s="23"/>
      <c r="W592" s="3"/>
      <c r="X592" s="3"/>
      <c r="Y592" s="17"/>
      <c r="Z592" s="17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12">
        <f t="shared" si="728"/>
        <v>1.9920000000000004</v>
      </c>
      <c r="AL592" s="12">
        <f t="shared" si="729"/>
        <v>1.9920000000000004</v>
      </c>
      <c r="AM592" s="12">
        <f t="shared" si="730"/>
        <v>0.19920000000000004</v>
      </c>
      <c r="AN592" s="12">
        <f t="shared" si="731"/>
        <v>0.19920000000000004</v>
      </c>
      <c r="AO592" s="12" t="str">
        <f t="shared" si="732"/>
        <v/>
      </c>
      <c r="AP592" s="12">
        <f t="shared" si="733"/>
        <v>1.51</v>
      </c>
      <c r="AQ592" s="12" t="str">
        <f t="shared" si="734"/>
        <v/>
      </c>
      <c r="AR592" s="12" t="str">
        <f t="shared" si="735"/>
        <v/>
      </c>
      <c r="AS592" s="12" t="str">
        <f t="shared" si="736"/>
        <v/>
      </c>
      <c r="AT592" s="12" t="str">
        <f t="shared" si="737"/>
        <v/>
      </c>
      <c r="AU592" s="12" t="str">
        <f t="shared" si="751"/>
        <v/>
      </c>
      <c r="AV592" s="17"/>
    </row>
    <row r="593" spans="1:48" x14ac:dyDescent="0.25">
      <c r="A593" s="43" t="s">
        <v>374</v>
      </c>
      <c r="B593" s="52" t="s">
        <v>531</v>
      </c>
      <c r="C593" s="44"/>
      <c r="D593" s="43"/>
      <c r="E593" s="52" t="s">
        <v>532</v>
      </c>
      <c r="F593" s="46"/>
      <c r="G593" s="76" t="s">
        <v>962</v>
      </c>
      <c r="H593" s="48" t="s">
        <v>1093</v>
      </c>
      <c r="I593" s="48"/>
      <c r="J593" s="84" t="s">
        <v>1132</v>
      </c>
      <c r="K593" s="85"/>
      <c r="L593" s="47"/>
      <c r="M593" s="3">
        <v>1.51</v>
      </c>
      <c r="N593" s="3">
        <f t="shared" si="738"/>
        <v>2.9000000000000004</v>
      </c>
      <c r="O593" s="22">
        <v>0.1</v>
      </c>
      <c r="P593" s="23">
        <v>1</v>
      </c>
      <c r="Q593" s="3"/>
      <c r="R593" s="3">
        <f t="shared" si="752"/>
        <v>2.387</v>
      </c>
      <c r="S593" s="3"/>
      <c r="T593" s="3"/>
      <c r="U593" s="3"/>
      <c r="V593" s="23"/>
      <c r="W593" s="3"/>
      <c r="X593" s="3"/>
      <c r="Y593" s="17"/>
      <c r="Z593" s="17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12">
        <f t="shared" si="728"/>
        <v>1.9920000000000004</v>
      </c>
      <c r="AL593" s="12">
        <f t="shared" si="729"/>
        <v>1.9920000000000004</v>
      </c>
      <c r="AM593" s="12">
        <f t="shared" si="730"/>
        <v>0.19920000000000004</v>
      </c>
      <c r="AN593" s="12">
        <f t="shared" si="731"/>
        <v>0.19920000000000004</v>
      </c>
      <c r="AO593" s="12" t="str">
        <f t="shared" si="732"/>
        <v/>
      </c>
      <c r="AP593" s="12">
        <f t="shared" si="733"/>
        <v>1.51</v>
      </c>
      <c r="AQ593" s="12" t="str">
        <f t="shared" si="734"/>
        <v/>
      </c>
      <c r="AR593" s="12" t="str">
        <f t="shared" si="735"/>
        <v/>
      </c>
      <c r="AS593" s="12" t="str">
        <f t="shared" si="736"/>
        <v/>
      </c>
      <c r="AT593" s="12" t="str">
        <f t="shared" si="737"/>
        <v/>
      </c>
      <c r="AU593" s="12" t="str">
        <f t="shared" si="751"/>
        <v/>
      </c>
      <c r="AV593" s="17"/>
    </row>
    <row r="594" spans="1:48" x14ac:dyDescent="0.25">
      <c r="A594" s="43" t="s">
        <v>374</v>
      </c>
      <c r="B594" s="52" t="s">
        <v>772</v>
      </c>
      <c r="C594" s="44"/>
      <c r="D594" s="43"/>
      <c r="E594" s="52" t="s">
        <v>717</v>
      </c>
      <c r="F594" s="46"/>
      <c r="G594" s="76" t="s">
        <v>963</v>
      </c>
      <c r="H594" s="48" t="s">
        <v>1093</v>
      </c>
      <c r="I594" s="48"/>
      <c r="J594" s="84" t="s">
        <v>1125</v>
      </c>
      <c r="K594" s="85"/>
      <c r="L594" s="47"/>
      <c r="M594" s="3">
        <v>2.4</v>
      </c>
      <c r="N594" s="3">
        <f t="shared" si="738"/>
        <v>2.9000000000000004</v>
      </c>
      <c r="O594" s="22">
        <v>0.1</v>
      </c>
      <c r="P594" s="23">
        <v>1</v>
      </c>
      <c r="Q594" s="3"/>
      <c r="R594" s="3">
        <f>1.4*(2.5+0.05+0.15)</f>
        <v>3.7799999999999994</v>
      </c>
      <c r="S594" s="3"/>
      <c r="T594" s="3"/>
      <c r="U594" s="3"/>
      <c r="V594" s="23"/>
      <c r="W594" s="3"/>
      <c r="X594" s="3"/>
      <c r="Y594" s="17"/>
      <c r="Z594" s="17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12">
        <f t="shared" si="728"/>
        <v>3.1800000000000015</v>
      </c>
      <c r="AL594" s="12">
        <f t="shared" si="729"/>
        <v>3.1800000000000015</v>
      </c>
      <c r="AM594" s="12">
        <f t="shared" si="730"/>
        <v>0.31800000000000017</v>
      </c>
      <c r="AN594" s="12">
        <f t="shared" si="731"/>
        <v>0.31800000000000017</v>
      </c>
      <c r="AO594" s="12" t="str">
        <f t="shared" si="732"/>
        <v/>
      </c>
      <c r="AP594" s="12">
        <f t="shared" si="733"/>
        <v>2.4</v>
      </c>
      <c r="AQ594" s="12" t="str">
        <f t="shared" si="734"/>
        <v/>
      </c>
      <c r="AR594" s="12" t="str">
        <f t="shared" si="735"/>
        <v/>
      </c>
      <c r="AS594" s="12" t="str">
        <f t="shared" si="736"/>
        <v/>
      </c>
      <c r="AT594" s="12" t="str">
        <f t="shared" si="737"/>
        <v/>
      </c>
      <c r="AU594" s="12" t="str">
        <f t="shared" si="751"/>
        <v/>
      </c>
      <c r="AV594" s="17"/>
    </row>
    <row r="595" spans="1:48" x14ac:dyDescent="0.25">
      <c r="A595" s="43" t="s">
        <v>374</v>
      </c>
      <c r="B595" s="52" t="s">
        <v>620</v>
      </c>
      <c r="C595" s="44"/>
      <c r="D595" s="43"/>
      <c r="E595" s="52" t="s">
        <v>621</v>
      </c>
      <c r="F595" s="46"/>
      <c r="G595" s="76" t="s">
        <v>964</v>
      </c>
      <c r="H595" s="48" t="s">
        <v>1093</v>
      </c>
      <c r="I595" s="48"/>
      <c r="J595" s="84" t="s">
        <v>1132</v>
      </c>
      <c r="K595" s="85"/>
      <c r="L595" s="47"/>
      <c r="M595" s="3">
        <v>1.51</v>
      </c>
      <c r="N595" s="3">
        <f t="shared" si="738"/>
        <v>2.9000000000000004</v>
      </c>
      <c r="O595" s="22">
        <v>0.1</v>
      </c>
      <c r="P595" s="23">
        <v>1</v>
      </c>
      <c r="Q595" s="3"/>
      <c r="R595" s="3">
        <f t="shared" si="752"/>
        <v>2.387</v>
      </c>
      <c r="S595" s="3"/>
      <c r="T595" s="3"/>
      <c r="U595" s="3"/>
      <c r="V595" s="23"/>
      <c r="W595" s="3"/>
      <c r="X595" s="3"/>
      <c r="Y595" s="17"/>
      <c r="Z595" s="17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12">
        <f t="shared" ref="AK595:AK671" si="753">IF(((M595*N595)-Q595-R595-S595+T595+U595)=0,"",((M595*N595)-Q595-R595-S595+T595+U595))</f>
        <v>1.9920000000000004</v>
      </c>
      <c r="AL595" s="12">
        <f t="shared" ref="AL595:AL671" si="754">IF(PRODUCT(P595,AK595)=0,"",P595*AK595)</f>
        <v>1.9920000000000004</v>
      </c>
      <c r="AM595" s="12">
        <f t="shared" ref="AM595:AM671" si="755">IF(PRODUCT(AK595,O595)=0,"",AK595*O595)</f>
        <v>0.19920000000000004</v>
      </c>
      <c r="AN595" s="12">
        <f t="shared" ref="AN595:AN671" si="756">IF(PRODUCT(AM595,P595)=0,"",AM595*P595)</f>
        <v>0.19920000000000004</v>
      </c>
      <c r="AO595" s="12" t="str">
        <f t="shared" ref="AO595:AO671" si="757">IF(N595*V595-W595+X595=0,"",N595*V595-W595+X595)</f>
        <v/>
      </c>
      <c r="AP595" s="12">
        <f t="shared" ref="AP595:AP671" si="758">IF(PRODUCT(M595,P595)=0,"",M595*P595)</f>
        <v>1.51</v>
      </c>
      <c r="AQ595" s="12" t="str">
        <f t="shared" ref="AQ595:AQ671" si="759">IF(AA595+AB595=0,"",AA595+AB595)</f>
        <v/>
      </c>
      <c r="AR595" s="12" t="str">
        <f t="shared" ref="AR595:AR671" si="760">IF(AC595+AD595=0,"",AC595+AD595)</f>
        <v/>
      </c>
      <c r="AS595" s="12" t="str">
        <f t="shared" ref="AS595:AS671" si="761">IF((AE595*AH595*AI595)*P595=0,"",(AE595*AH595*AI595)*P595)</f>
        <v/>
      </c>
      <c r="AT595" s="12" t="str">
        <f t="shared" ref="AT595:AT671" si="762">IF(AJ595*P595=0,"",AJ595*P595)</f>
        <v/>
      </c>
      <c r="AU595" s="12" t="str">
        <f t="shared" si="751"/>
        <v/>
      </c>
      <c r="AV595" s="17"/>
    </row>
    <row r="596" spans="1:48" x14ac:dyDescent="0.25">
      <c r="A596" s="43" t="s">
        <v>374</v>
      </c>
      <c r="B596" s="52" t="s">
        <v>623</v>
      </c>
      <c r="C596" s="44"/>
      <c r="D596" s="43"/>
      <c r="E596" s="52" t="s">
        <v>624</v>
      </c>
      <c r="F596" s="46"/>
      <c r="G596" s="76" t="s">
        <v>965</v>
      </c>
      <c r="H596" s="48" t="s">
        <v>1093</v>
      </c>
      <c r="I596" s="48"/>
      <c r="J596" s="84" t="s">
        <v>1132</v>
      </c>
      <c r="K596" s="85"/>
      <c r="L596" s="47"/>
      <c r="M596" s="3">
        <v>1.51</v>
      </c>
      <c r="N596" s="3">
        <f t="shared" si="738"/>
        <v>2.9000000000000004</v>
      </c>
      <c r="O596" s="22">
        <v>0.1</v>
      </c>
      <c r="P596" s="23">
        <v>1</v>
      </c>
      <c r="Q596" s="3"/>
      <c r="R596" s="3">
        <f t="shared" si="752"/>
        <v>2.387</v>
      </c>
      <c r="S596" s="3"/>
      <c r="T596" s="3"/>
      <c r="U596" s="3"/>
      <c r="V596" s="23"/>
      <c r="W596" s="3"/>
      <c r="X596" s="3"/>
      <c r="Y596" s="17"/>
      <c r="Z596" s="17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12">
        <f t="shared" si="753"/>
        <v>1.9920000000000004</v>
      </c>
      <c r="AL596" s="12">
        <f t="shared" si="754"/>
        <v>1.9920000000000004</v>
      </c>
      <c r="AM596" s="12">
        <f t="shared" si="755"/>
        <v>0.19920000000000004</v>
      </c>
      <c r="AN596" s="12">
        <f t="shared" si="756"/>
        <v>0.19920000000000004</v>
      </c>
      <c r="AO596" s="12" t="str">
        <f t="shared" si="757"/>
        <v/>
      </c>
      <c r="AP596" s="12">
        <f t="shared" si="758"/>
        <v>1.51</v>
      </c>
      <c r="AQ596" s="12" t="str">
        <f t="shared" si="759"/>
        <v/>
      </c>
      <c r="AR596" s="12" t="str">
        <f t="shared" si="760"/>
        <v/>
      </c>
      <c r="AS596" s="12" t="str">
        <f t="shared" si="761"/>
        <v/>
      </c>
      <c r="AT596" s="12" t="str">
        <f t="shared" si="762"/>
        <v/>
      </c>
      <c r="AU596" s="12" t="str">
        <f t="shared" si="751"/>
        <v/>
      </c>
      <c r="AV596" s="17"/>
    </row>
    <row r="597" spans="1:48" x14ac:dyDescent="0.25">
      <c r="A597" s="43" t="s">
        <v>374</v>
      </c>
      <c r="B597" s="52" t="s">
        <v>518</v>
      </c>
      <c r="C597" s="44"/>
      <c r="D597" s="43"/>
      <c r="E597" s="52"/>
      <c r="F597" s="46"/>
      <c r="G597" s="76" t="s">
        <v>1157</v>
      </c>
      <c r="H597" s="48" t="s">
        <v>1104</v>
      </c>
      <c r="I597" s="48"/>
      <c r="J597" s="84" t="s">
        <v>1132</v>
      </c>
      <c r="K597" s="85"/>
      <c r="L597" s="47"/>
      <c r="M597" s="3">
        <v>1.155</v>
      </c>
      <c r="N597" s="3">
        <f t="shared" ref="N597:N660" si="763">9.55-6.65</f>
        <v>2.9000000000000004</v>
      </c>
      <c r="O597" s="22">
        <v>0.155</v>
      </c>
      <c r="P597" s="23">
        <v>7</v>
      </c>
      <c r="Q597" s="3"/>
      <c r="R597" s="3"/>
      <c r="S597" s="3"/>
      <c r="T597" s="3"/>
      <c r="U597" s="3"/>
      <c r="V597" s="23"/>
      <c r="W597" s="3"/>
      <c r="X597" s="3"/>
      <c r="Y597" s="17"/>
      <c r="Z597" s="17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12">
        <f t="shared" si="753"/>
        <v>3.3495000000000004</v>
      </c>
      <c r="AL597" s="12">
        <f t="shared" si="754"/>
        <v>23.446500000000004</v>
      </c>
      <c r="AM597" s="12">
        <f t="shared" si="755"/>
        <v>0.51917250000000004</v>
      </c>
      <c r="AN597" s="12">
        <f t="shared" si="756"/>
        <v>3.6342075000000005</v>
      </c>
      <c r="AO597" s="12" t="str">
        <f t="shared" si="757"/>
        <v/>
      </c>
      <c r="AP597" s="12">
        <f t="shared" si="758"/>
        <v>8.0850000000000009</v>
      </c>
      <c r="AQ597" s="12" t="str">
        <f t="shared" si="759"/>
        <v/>
      </c>
      <c r="AR597" s="12" t="str">
        <f t="shared" si="760"/>
        <v/>
      </c>
      <c r="AS597" s="12" t="str">
        <f t="shared" si="761"/>
        <v/>
      </c>
      <c r="AT597" s="12" t="str">
        <f t="shared" si="762"/>
        <v/>
      </c>
      <c r="AU597" s="12" t="str">
        <f t="shared" si="751"/>
        <v/>
      </c>
      <c r="AV597" s="17"/>
    </row>
    <row r="598" spans="1:48" x14ac:dyDescent="0.25">
      <c r="A598" s="43" t="s">
        <v>374</v>
      </c>
      <c r="B598" s="52" t="s">
        <v>540</v>
      </c>
      <c r="C598" s="44"/>
      <c r="D598" s="43"/>
      <c r="E598" s="52" t="s">
        <v>771</v>
      </c>
      <c r="F598" s="46"/>
      <c r="G598" s="76" t="s">
        <v>966</v>
      </c>
      <c r="H598" s="48" t="s">
        <v>1093</v>
      </c>
      <c r="I598" s="48"/>
      <c r="J598" s="84" t="s">
        <v>1132</v>
      </c>
      <c r="K598" s="85"/>
      <c r="L598" s="47"/>
      <c r="M598" s="3">
        <v>1.51</v>
      </c>
      <c r="N598" s="3">
        <f t="shared" si="763"/>
        <v>2.9000000000000004</v>
      </c>
      <c r="O598" s="22">
        <v>0.1</v>
      </c>
      <c r="P598" s="23">
        <v>1</v>
      </c>
      <c r="Q598" s="3"/>
      <c r="R598" s="3">
        <f t="shared" si="752"/>
        <v>2.387</v>
      </c>
      <c r="S598" s="3"/>
      <c r="T598" s="3"/>
      <c r="U598" s="3"/>
      <c r="V598" s="23"/>
      <c r="W598" s="3"/>
      <c r="X598" s="3"/>
      <c r="Y598" s="17"/>
      <c r="Z598" s="17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12">
        <f t="shared" si="753"/>
        <v>1.9920000000000004</v>
      </c>
      <c r="AL598" s="12">
        <f t="shared" si="754"/>
        <v>1.9920000000000004</v>
      </c>
      <c r="AM598" s="12">
        <f t="shared" si="755"/>
        <v>0.19920000000000004</v>
      </c>
      <c r="AN598" s="12">
        <f t="shared" si="756"/>
        <v>0.19920000000000004</v>
      </c>
      <c r="AO598" s="12" t="str">
        <f t="shared" si="757"/>
        <v/>
      </c>
      <c r="AP598" s="12">
        <f t="shared" si="758"/>
        <v>1.51</v>
      </c>
      <c r="AQ598" s="12" t="str">
        <f t="shared" si="759"/>
        <v/>
      </c>
      <c r="AR598" s="12" t="str">
        <f t="shared" si="760"/>
        <v/>
      </c>
      <c r="AS598" s="12" t="str">
        <f t="shared" si="761"/>
        <v/>
      </c>
      <c r="AT598" s="12" t="str">
        <f t="shared" si="762"/>
        <v/>
      </c>
      <c r="AU598" s="12" t="str">
        <f t="shared" si="751"/>
        <v/>
      </c>
      <c r="AV598" s="17"/>
    </row>
    <row r="599" spans="1:48" x14ac:dyDescent="0.25">
      <c r="A599" s="43" t="s">
        <v>374</v>
      </c>
      <c r="B599" s="52" t="s">
        <v>534</v>
      </c>
      <c r="C599" s="44"/>
      <c r="D599" s="43"/>
      <c r="E599" s="52" t="s">
        <v>533</v>
      </c>
      <c r="F599" s="46"/>
      <c r="G599" s="76" t="s">
        <v>967</v>
      </c>
      <c r="H599" s="48" t="s">
        <v>1093</v>
      </c>
      <c r="I599" s="48"/>
      <c r="J599" s="84" t="s">
        <v>1132</v>
      </c>
      <c r="K599" s="85"/>
      <c r="L599" s="47"/>
      <c r="M599" s="3">
        <v>1.51</v>
      </c>
      <c r="N599" s="3">
        <f t="shared" si="763"/>
        <v>2.9000000000000004</v>
      </c>
      <c r="O599" s="22">
        <v>0.1</v>
      </c>
      <c r="P599" s="23">
        <v>1</v>
      </c>
      <c r="Q599" s="3"/>
      <c r="R599" s="3">
        <f t="shared" si="752"/>
        <v>2.387</v>
      </c>
      <c r="S599" s="3"/>
      <c r="T599" s="3"/>
      <c r="U599" s="3"/>
      <c r="V599" s="23"/>
      <c r="W599" s="3"/>
      <c r="X599" s="3"/>
      <c r="Y599" s="17"/>
      <c r="Z599" s="17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12">
        <f t="shared" si="753"/>
        <v>1.9920000000000004</v>
      </c>
      <c r="AL599" s="12">
        <f t="shared" si="754"/>
        <v>1.9920000000000004</v>
      </c>
      <c r="AM599" s="12">
        <f t="shared" si="755"/>
        <v>0.19920000000000004</v>
      </c>
      <c r="AN599" s="12">
        <f t="shared" si="756"/>
        <v>0.19920000000000004</v>
      </c>
      <c r="AO599" s="12" t="str">
        <f t="shared" si="757"/>
        <v/>
      </c>
      <c r="AP599" s="12">
        <f t="shared" si="758"/>
        <v>1.51</v>
      </c>
      <c r="AQ599" s="12" t="str">
        <f t="shared" si="759"/>
        <v/>
      </c>
      <c r="AR599" s="12" t="str">
        <f t="shared" si="760"/>
        <v/>
      </c>
      <c r="AS599" s="12" t="str">
        <f t="shared" si="761"/>
        <v/>
      </c>
      <c r="AT599" s="12" t="str">
        <f t="shared" si="762"/>
        <v/>
      </c>
      <c r="AU599" s="12" t="str">
        <f t="shared" si="751"/>
        <v/>
      </c>
      <c r="AV599" s="17"/>
    </row>
    <row r="600" spans="1:48" x14ac:dyDescent="0.25">
      <c r="A600" s="43" t="s">
        <v>374</v>
      </c>
      <c r="B600" s="52" t="s">
        <v>537</v>
      </c>
      <c r="C600" s="44"/>
      <c r="D600" s="43"/>
      <c r="E600" s="52" t="s">
        <v>676</v>
      </c>
      <c r="F600" s="46"/>
      <c r="G600" s="76" t="s">
        <v>968</v>
      </c>
      <c r="H600" s="48" t="s">
        <v>1093</v>
      </c>
      <c r="I600" s="48"/>
      <c r="J600" s="84" t="s">
        <v>1132</v>
      </c>
      <c r="K600" s="85"/>
      <c r="L600" s="47"/>
      <c r="M600" s="3">
        <v>1.51</v>
      </c>
      <c r="N600" s="3">
        <f t="shared" si="763"/>
        <v>2.9000000000000004</v>
      </c>
      <c r="O600" s="22">
        <v>0.1</v>
      </c>
      <c r="P600" s="23">
        <v>1</v>
      </c>
      <c r="Q600" s="3"/>
      <c r="R600" s="3">
        <f t="shared" si="752"/>
        <v>2.387</v>
      </c>
      <c r="S600" s="3"/>
      <c r="T600" s="3"/>
      <c r="U600" s="3"/>
      <c r="V600" s="23"/>
      <c r="W600" s="3"/>
      <c r="X600" s="3"/>
      <c r="Y600" s="17"/>
      <c r="Z600" s="17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12">
        <f t="shared" si="753"/>
        <v>1.9920000000000004</v>
      </c>
      <c r="AL600" s="12">
        <f t="shared" si="754"/>
        <v>1.9920000000000004</v>
      </c>
      <c r="AM600" s="12">
        <f t="shared" si="755"/>
        <v>0.19920000000000004</v>
      </c>
      <c r="AN600" s="12">
        <f t="shared" si="756"/>
        <v>0.19920000000000004</v>
      </c>
      <c r="AO600" s="12" t="str">
        <f t="shared" si="757"/>
        <v/>
      </c>
      <c r="AP600" s="12">
        <f t="shared" si="758"/>
        <v>1.51</v>
      </c>
      <c r="AQ600" s="12" t="str">
        <f t="shared" si="759"/>
        <v/>
      </c>
      <c r="AR600" s="12" t="str">
        <f t="shared" si="760"/>
        <v/>
      </c>
      <c r="AS600" s="12" t="str">
        <f t="shared" si="761"/>
        <v/>
      </c>
      <c r="AT600" s="12" t="str">
        <f t="shared" si="762"/>
        <v/>
      </c>
      <c r="AU600" s="12" t="str">
        <f t="shared" si="751"/>
        <v/>
      </c>
      <c r="AV600" s="17"/>
    </row>
    <row r="601" spans="1:48" x14ac:dyDescent="0.25">
      <c r="A601" s="43" t="s">
        <v>374</v>
      </c>
      <c r="B601" s="52" t="s">
        <v>674</v>
      </c>
      <c r="C601" s="44"/>
      <c r="D601" s="43"/>
      <c r="E601" s="52" t="s">
        <v>673</v>
      </c>
      <c r="F601" s="46"/>
      <c r="G601" s="76" t="s">
        <v>969</v>
      </c>
      <c r="H601" s="48" t="s">
        <v>1093</v>
      </c>
      <c r="I601" s="48"/>
      <c r="J601" s="84" t="s">
        <v>1132</v>
      </c>
      <c r="K601" s="85"/>
      <c r="L601" s="47"/>
      <c r="M601" s="3">
        <v>1.51</v>
      </c>
      <c r="N601" s="3">
        <f t="shared" si="763"/>
        <v>2.9000000000000004</v>
      </c>
      <c r="O601" s="22">
        <v>0.1</v>
      </c>
      <c r="P601" s="23">
        <v>1</v>
      </c>
      <c r="Q601" s="3"/>
      <c r="R601" s="3">
        <f t="shared" si="752"/>
        <v>2.387</v>
      </c>
      <c r="S601" s="3"/>
      <c r="T601" s="3"/>
      <c r="U601" s="3"/>
      <c r="V601" s="23"/>
      <c r="W601" s="3"/>
      <c r="X601" s="3"/>
      <c r="Y601" s="17"/>
      <c r="Z601" s="17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12">
        <f t="shared" si="753"/>
        <v>1.9920000000000004</v>
      </c>
      <c r="AL601" s="12">
        <f t="shared" si="754"/>
        <v>1.9920000000000004</v>
      </c>
      <c r="AM601" s="12">
        <f t="shared" si="755"/>
        <v>0.19920000000000004</v>
      </c>
      <c r="AN601" s="12">
        <f t="shared" si="756"/>
        <v>0.19920000000000004</v>
      </c>
      <c r="AO601" s="12" t="str">
        <f t="shared" si="757"/>
        <v/>
      </c>
      <c r="AP601" s="12">
        <f t="shared" si="758"/>
        <v>1.51</v>
      </c>
      <c r="AQ601" s="12" t="str">
        <f t="shared" si="759"/>
        <v/>
      </c>
      <c r="AR601" s="12" t="str">
        <f t="shared" si="760"/>
        <v/>
      </c>
      <c r="AS601" s="12" t="str">
        <f t="shared" si="761"/>
        <v/>
      </c>
      <c r="AT601" s="12" t="str">
        <f t="shared" si="762"/>
        <v/>
      </c>
      <c r="AU601" s="12" t="str">
        <f t="shared" si="751"/>
        <v/>
      </c>
      <c r="AV601" s="17"/>
    </row>
    <row r="602" spans="1:48" x14ac:dyDescent="0.25">
      <c r="A602" s="43" t="s">
        <v>374</v>
      </c>
      <c r="B602" s="52" t="s">
        <v>639</v>
      </c>
      <c r="C602" s="44"/>
      <c r="D602" s="43"/>
      <c r="E602" s="52" t="s">
        <v>656</v>
      </c>
      <c r="F602" s="46"/>
      <c r="G602" s="76" t="s">
        <v>970</v>
      </c>
      <c r="H602" s="48" t="s">
        <v>1093</v>
      </c>
      <c r="I602" s="48"/>
      <c r="J602" s="84" t="s">
        <v>1132</v>
      </c>
      <c r="K602" s="85"/>
      <c r="L602" s="47"/>
      <c r="M602" s="3">
        <v>1.51</v>
      </c>
      <c r="N602" s="3">
        <f t="shared" si="763"/>
        <v>2.9000000000000004</v>
      </c>
      <c r="O602" s="22">
        <v>0.1</v>
      </c>
      <c r="P602" s="23">
        <v>1</v>
      </c>
      <c r="Q602" s="3"/>
      <c r="R602" s="3">
        <f t="shared" si="752"/>
        <v>2.387</v>
      </c>
      <c r="S602" s="3"/>
      <c r="T602" s="3"/>
      <c r="U602" s="3"/>
      <c r="V602" s="23"/>
      <c r="W602" s="3"/>
      <c r="X602" s="3"/>
      <c r="Y602" s="17"/>
      <c r="Z602" s="17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12">
        <f t="shared" si="753"/>
        <v>1.9920000000000004</v>
      </c>
      <c r="AL602" s="12">
        <f t="shared" si="754"/>
        <v>1.9920000000000004</v>
      </c>
      <c r="AM602" s="12">
        <f t="shared" si="755"/>
        <v>0.19920000000000004</v>
      </c>
      <c r="AN602" s="12">
        <f t="shared" si="756"/>
        <v>0.19920000000000004</v>
      </c>
      <c r="AO602" s="12" t="str">
        <f t="shared" si="757"/>
        <v/>
      </c>
      <c r="AP602" s="12">
        <f t="shared" si="758"/>
        <v>1.51</v>
      </c>
      <c r="AQ602" s="12" t="str">
        <f t="shared" si="759"/>
        <v/>
      </c>
      <c r="AR602" s="12" t="str">
        <f t="shared" si="760"/>
        <v/>
      </c>
      <c r="AS602" s="12" t="str">
        <f t="shared" si="761"/>
        <v/>
      </c>
      <c r="AT602" s="12" t="str">
        <f t="shared" si="762"/>
        <v/>
      </c>
      <c r="AU602" s="12" t="str">
        <f t="shared" si="751"/>
        <v/>
      </c>
      <c r="AV602" s="17"/>
    </row>
    <row r="603" spans="1:48" x14ac:dyDescent="0.25">
      <c r="A603" s="43" t="s">
        <v>374</v>
      </c>
      <c r="B603" s="52" t="s">
        <v>652</v>
      </c>
      <c r="C603" s="44"/>
      <c r="D603" s="43"/>
      <c r="E603" s="52" t="s">
        <v>650</v>
      </c>
      <c r="F603" s="46"/>
      <c r="G603" s="76" t="s">
        <v>971</v>
      </c>
      <c r="H603" s="48" t="s">
        <v>1093</v>
      </c>
      <c r="I603" s="48"/>
      <c r="J603" s="84" t="s">
        <v>1132</v>
      </c>
      <c r="K603" s="85"/>
      <c r="L603" s="47"/>
      <c r="M603" s="3">
        <v>1.51</v>
      </c>
      <c r="N603" s="3">
        <f t="shared" si="763"/>
        <v>2.9000000000000004</v>
      </c>
      <c r="O603" s="22">
        <v>0.1</v>
      </c>
      <c r="P603" s="23">
        <v>1</v>
      </c>
      <c r="Q603" s="3"/>
      <c r="R603" s="3">
        <f t="shared" si="752"/>
        <v>2.387</v>
      </c>
      <c r="S603" s="3"/>
      <c r="T603" s="3"/>
      <c r="U603" s="3"/>
      <c r="V603" s="23"/>
      <c r="W603" s="3"/>
      <c r="X603" s="3"/>
      <c r="Y603" s="17"/>
      <c r="Z603" s="17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12">
        <f t="shared" si="753"/>
        <v>1.9920000000000004</v>
      </c>
      <c r="AL603" s="12">
        <f t="shared" si="754"/>
        <v>1.9920000000000004</v>
      </c>
      <c r="AM603" s="12">
        <f t="shared" si="755"/>
        <v>0.19920000000000004</v>
      </c>
      <c r="AN603" s="12">
        <f t="shared" si="756"/>
        <v>0.19920000000000004</v>
      </c>
      <c r="AO603" s="12" t="str">
        <f t="shared" si="757"/>
        <v/>
      </c>
      <c r="AP603" s="12">
        <f t="shared" si="758"/>
        <v>1.51</v>
      </c>
      <c r="AQ603" s="12" t="str">
        <f t="shared" si="759"/>
        <v/>
      </c>
      <c r="AR603" s="12" t="str">
        <f t="shared" si="760"/>
        <v/>
      </c>
      <c r="AS603" s="12" t="str">
        <f t="shared" si="761"/>
        <v/>
      </c>
      <c r="AT603" s="12" t="str">
        <f t="shared" si="762"/>
        <v/>
      </c>
      <c r="AU603" s="12" t="str">
        <f t="shared" si="751"/>
        <v/>
      </c>
      <c r="AV603" s="17"/>
    </row>
    <row r="604" spans="1:48" x14ac:dyDescent="0.25">
      <c r="A604" s="43" t="s">
        <v>374</v>
      </c>
      <c r="B604" s="52" t="s">
        <v>651</v>
      </c>
      <c r="C604" s="44"/>
      <c r="D604" s="43"/>
      <c r="E604" s="52" t="s">
        <v>653</v>
      </c>
      <c r="F604" s="46"/>
      <c r="G604" s="76" t="s">
        <v>972</v>
      </c>
      <c r="H604" s="48" t="s">
        <v>1097</v>
      </c>
      <c r="I604" s="48"/>
      <c r="J604" s="84" t="s">
        <v>1132</v>
      </c>
      <c r="K604" s="85"/>
      <c r="L604" s="47"/>
      <c r="M604" s="3">
        <v>1.2</v>
      </c>
      <c r="N604" s="3">
        <f t="shared" si="763"/>
        <v>2.9000000000000004</v>
      </c>
      <c r="O604" s="22">
        <v>0.155</v>
      </c>
      <c r="P604" s="23">
        <v>1</v>
      </c>
      <c r="Q604" s="3"/>
      <c r="R604" s="3">
        <f t="shared" si="752"/>
        <v>2.387</v>
      </c>
      <c r="S604" s="3"/>
      <c r="T604" s="3"/>
      <c r="U604" s="3"/>
      <c r="V604" s="23"/>
      <c r="W604" s="3"/>
      <c r="X604" s="3"/>
      <c r="Y604" s="17"/>
      <c r="Z604" s="17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12">
        <f t="shared" si="753"/>
        <v>1.0930000000000004</v>
      </c>
      <c r="AL604" s="12">
        <f t="shared" si="754"/>
        <v>1.0930000000000004</v>
      </c>
      <c r="AM604" s="12">
        <f t="shared" si="755"/>
        <v>0.16941500000000007</v>
      </c>
      <c r="AN604" s="12">
        <f t="shared" si="756"/>
        <v>0.16941500000000007</v>
      </c>
      <c r="AO604" s="12" t="str">
        <f t="shared" si="757"/>
        <v/>
      </c>
      <c r="AP604" s="12">
        <f t="shared" si="758"/>
        <v>1.2</v>
      </c>
      <c r="AQ604" s="12" t="str">
        <f t="shared" si="759"/>
        <v/>
      </c>
      <c r="AR604" s="12" t="str">
        <f t="shared" si="760"/>
        <v/>
      </c>
      <c r="AS604" s="12" t="str">
        <f t="shared" si="761"/>
        <v/>
      </c>
      <c r="AT604" s="12" t="str">
        <f t="shared" si="762"/>
        <v/>
      </c>
      <c r="AU604" s="12" t="str">
        <f t="shared" si="751"/>
        <v/>
      </c>
      <c r="AV604" s="17"/>
    </row>
    <row r="605" spans="1:48" x14ac:dyDescent="0.25">
      <c r="A605" s="43" t="s">
        <v>374</v>
      </c>
      <c r="B605" s="52" t="s">
        <v>518</v>
      </c>
      <c r="C605" s="44"/>
      <c r="D605" s="43"/>
      <c r="E605" s="52"/>
      <c r="F605" s="46"/>
      <c r="G605" s="76" t="s">
        <v>1158</v>
      </c>
      <c r="H605" s="48" t="s">
        <v>1104</v>
      </c>
      <c r="I605" s="48"/>
      <c r="J605" s="84" t="s">
        <v>1132</v>
      </c>
      <c r="K605" s="85"/>
      <c r="L605" s="47"/>
      <c r="M605" s="3">
        <v>1.155</v>
      </c>
      <c r="N605" s="3">
        <f t="shared" si="763"/>
        <v>2.9000000000000004</v>
      </c>
      <c r="O605" s="22">
        <v>0.155</v>
      </c>
      <c r="P605" s="23">
        <v>2</v>
      </c>
      <c r="Q605" s="3"/>
      <c r="R605" s="3"/>
      <c r="S605" s="3"/>
      <c r="T605" s="3"/>
      <c r="U605" s="3"/>
      <c r="V605" s="23"/>
      <c r="W605" s="3"/>
      <c r="X605" s="3"/>
      <c r="Y605" s="17"/>
      <c r="Z605" s="17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12">
        <f t="shared" si="753"/>
        <v>3.3495000000000004</v>
      </c>
      <c r="AL605" s="12">
        <f t="shared" si="754"/>
        <v>6.6990000000000007</v>
      </c>
      <c r="AM605" s="12">
        <f t="shared" si="755"/>
        <v>0.51917250000000004</v>
      </c>
      <c r="AN605" s="12">
        <f t="shared" si="756"/>
        <v>1.0383450000000001</v>
      </c>
      <c r="AO605" s="12" t="str">
        <f t="shared" si="757"/>
        <v/>
      </c>
      <c r="AP605" s="12">
        <f t="shared" si="758"/>
        <v>2.31</v>
      </c>
      <c r="AQ605" s="12" t="str">
        <f t="shared" si="759"/>
        <v/>
      </c>
      <c r="AR605" s="12" t="str">
        <f t="shared" si="760"/>
        <v/>
      </c>
      <c r="AS605" s="12" t="str">
        <f t="shared" si="761"/>
        <v/>
      </c>
      <c r="AT605" s="12" t="str">
        <f t="shared" si="762"/>
        <v/>
      </c>
      <c r="AU605" s="12" t="str">
        <f t="shared" si="751"/>
        <v/>
      </c>
      <c r="AV605" s="17"/>
    </row>
    <row r="606" spans="1:48" x14ac:dyDescent="0.25">
      <c r="A606" s="43" t="s">
        <v>374</v>
      </c>
      <c r="B606" s="52" t="s">
        <v>654</v>
      </c>
      <c r="C606" s="44"/>
      <c r="D606" s="43"/>
      <c r="E606" s="52" t="s">
        <v>645</v>
      </c>
      <c r="F606" s="46"/>
      <c r="G606" s="76" t="s">
        <v>973</v>
      </c>
      <c r="H606" s="48" t="s">
        <v>1093</v>
      </c>
      <c r="I606" s="48"/>
      <c r="J606" s="84" t="s">
        <v>1132</v>
      </c>
      <c r="K606" s="85"/>
      <c r="L606" s="47"/>
      <c r="M606" s="3">
        <v>1.2</v>
      </c>
      <c r="N606" s="3">
        <f t="shared" si="763"/>
        <v>2.9000000000000004</v>
      </c>
      <c r="O606" s="22">
        <v>0.1</v>
      </c>
      <c r="P606" s="23">
        <v>1</v>
      </c>
      <c r="Q606" s="3"/>
      <c r="R606" s="3"/>
      <c r="S606" s="3"/>
      <c r="T606" s="3"/>
      <c r="U606" s="3"/>
      <c r="V606" s="23"/>
      <c r="W606" s="3"/>
      <c r="X606" s="3"/>
      <c r="Y606" s="17"/>
      <c r="Z606" s="17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12">
        <f t="shared" si="753"/>
        <v>3.4800000000000004</v>
      </c>
      <c r="AL606" s="12">
        <f t="shared" si="754"/>
        <v>3.4800000000000004</v>
      </c>
      <c r="AM606" s="12">
        <f t="shared" si="755"/>
        <v>0.34800000000000009</v>
      </c>
      <c r="AN606" s="12">
        <f t="shared" si="756"/>
        <v>0.34800000000000009</v>
      </c>
      <c r="AO606" s="12" t="str">
        <f t="shared" si="757"/>
        <v/>
      </c>
      <c r="AP606" s="12">
        <f t="shared" si="758"/>
        <v>1.2</v>
      </c>
      <c r="AQ606" s="12" t="str">
        <f t="shared" si="759"/>
        <v/>
      </c>
      <c r="AR606" s="12" t="str">
        <f t="shared" si="760"/>
        <v/>
      </c>
      <c r="AS606" s="12" t="str">
        <f t="shared" si="761"/>
        <v/>
      </c>
      <c r="AT606" s="12" t="str">
        <f t="shared" si="762"/>
        <v/>
      </c>
      <c r="AU606" s="12" t="str">
        <f t="shared" si="751"/>
        <v/>
      </c>
      <c r="AV606" s="17"/>
    </row>
    <row r="607" spans="1:48" x14ac:dyDescent="0.25">
      <c r="A607" s="43" t="s">
        <v>374</v>
      </c>
      <c r="B607" s="52" t="s">
        <v>654</v>
      </c>
      <c r="C607" s="44"/>
      <c r="D607" s="43"/>
      <c r="E607" s="52" t="s">
        <v>646</v>
      </c>
      <c r="F607" s="46"/>
      <c r="G607" s="76" t="s">
        <v>974</v>
      </c>
      <c r="H607" s="48" t="s">
        <v>1104</v>
      </c>
      <c r="I607" s="48"/>
      <c r="J607" s="84" t="s">
        <v>1132</v>
      </c>
      <c r="K607" s="85"/>
      <c r="L607" s="47" t="s">
        <v>622</v>
      </c>
      <c r="M607" s="3">
        <f>0.15+3.65</f>
        <v>3.8</v>
      </c>
      <c r="N607" s="3">
        <f t="shared" si="763"/>
        <v>2.9000000000000004</v>
      </c>
      <c r="O607" s="22">
        <v>0.155</v>
      </c>
      <c r="P607" s="23">
        <v>1</v>
      </c>
      <c r="Q607" s="3"/>
      <c r="R607" s="3"/>
      <c r="S607" s="3"/>
      <c r="T607" s="3"/>
      <c r="U607" s="3"/>
      <c r="V607" s="23"/>
      <c r="W607" s="3"/>
      <c r="X607" s="3"/>
      <c r="Y607" s="17"/>
      <c r="Z607" s="17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12">
        <f t="shared" ref="AK607:AK669" si="764">IF(((M607*N607)-Q607-R607-S607+T607+U607)=0,"",((M607*N607)-Q607-R607-S607+T607+U607))</f>
        <v>11.020000000000001</v>
      </c>
      <c r="AL607" s="12">
        <f t="shared" ref="AL607:AL669" si="765">IF(PRODUCT(P607,AK607)=0,"",P607*AK607)</f>
        <v>11.020000000000001</v>
      </c>
      <c r="AM607" s="12">
        <f t="shared" ref="AM607:AM669" si="766">IF(PRODUCT(AK607,O607)=0,"",AK607*O607)</f>
        <v>1.7081000000000002</v>
      </c>
      <c r="AN607" s="12">
        <f t="shared" ref="AN607:AN669" si="767">IF(PRODUCT(AM607,P607)=0,"",AM607*P607)</f>
        <v>1.7081000000000002</v>
      </c>
      <c r="AO607" s="12" t="str">
        <f t="shared" ref="AO607:AO669" si="768">IF(N607*V607-W607+X607=0,"",N607*V607-W607+X607)</f>
        <v/>
      </c>
      <c r="AP607" s="12">
        <f t="shared" ref="AP607:AP669" si="769">IF(PRODUCT(M607,P607)=0,"",M607*P607)</f>
        <v>3.8</v>
      </c>
      <c r="AQ607" s="12" t="str">
        <f t="shared" ref="AQ607:AQ669" si="770">IF(AA607+AB607=0,"",AA607+AB607)</f>
        <v/>
      </c>
      <c r="AR607" s="12" t="str">
        <f t="shared" ref="AR607:AR669" si="771">IF(AC607+AD607=0,"",AC607+AD607)</f>
        <v/>
      </c>
      <c r="AS607" s="12" t="str">
        <f t="shared" ref="AS607:AS669" si="772">IF((AE607*AH607*AI607)*P607=0,"",(AE607*AH607*AI607)*P607)</f>
        <v/>
      </c>
      <c r="AT607" s="12" t="str">
        <f t="shared" ref="AT607:AT669" si="773">IF(AJ607*P607=0,"",AJ607*P607)</f>
        <v/>
      </c>
      <c r="AU607" s="12" t="str">
        <f t="shared" ref="AU607:AU669" si="774">IF(OR(H607="s1",H607="s2",H607="s3",H607="s4",H607="s4*",H607="s5",H607="s12",H607="s16"),IF(M607&gt;=4,M607,""),"")</f>
        <v/>
      </c>
      <c r="AV607" s="17"/>
    </row>
    <row r="608" spans="1:48" x14ac:dyDescent="0.25">
      <c r="A608" s="43" t="s">
        <v>374</v>
      </c>
      <c r="B608" s="52" t="s">
        <v>654</v>
      </c>
      <c r="C608" s="44"/>
      <c r="D608" s="43"/>
      <c r="E608" s="52" t="s">
        <v>691</v>
      </c>
      <c r="F608" s="46"/>
      <c r="G608" s="76" t="s">
        <v>1159</v>
      </c>
      <c r="H608" s="48" t="s">
        <v>1104</v>
      </c>
      <c r="I608" s="48"/>
      <c r="J608" s="84" t="s">
        <v>1125</v>
      </c>
      <c r="K608" s="85"/>
      <c r="L608" s="47" t="s">
        <v>622</v>
      </c>
      <c r="M608" s="3">
        <f>0.35+2.4</f>
        <v>2.75</v>
      </c>
      <c r="N608" s="3">
        <f t="shared" si="763"/>
        <v>2.9000000000000004</v>
      </c>
      <c r="O608" s="22">
        <v>0.155</v>
      </c>
      <c r="P608" s="23">
        <v>1</v>
      </c>
      <c r="Q608" s="3"/>
      <c r="R608" s="3"/>
      <c r="S608" s="3"/>
      <c r="T608" s="3"/>
      <c r="U608" s="3"/>
      <c r="V608" s="23"/>
      <c r="W608" s="3"/>
      <c r="X608" s="3"/>
      <c r="Y608" s="17"/>
      <c r="Z608" s="17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12">
        <f t="shared" si="764"/>
        <v>7.9750000000000014</v>
      </c>
      <c r="AL608" s="12">
        <f t="shared" si="765"/>
        <v>7.9750000000000014</v>
      </c>
      <c r="AM608" s="12">
        <f t="shared" si="766"/>
        <v>1.2361250000000001</v>
      </c>
      <c r="AN608" s="12">
        <f t="shared" si="767"/>
        <v>1.2361250000000001</v>
      </c>
      <c r="AO608" s="12" t="str">
        <f t="shared" si="768"/>
        <v/>
      </c>
      <c r="AP608" s="12">
        <f t="shared" si="769"/>
        <v>2.75</v>
      </c>
      <c r="AQ608" s="12" t="str">
        <f t="shared" si="770"/>
        <v/>
      </c>
      <c r="AR608" s="12" t="str">
        <f t="shared" si="771"/>
        <v/>
      </c>
      <c r="AS608" s="12" t="str">
        <f t="shared" si="772"/>
        <v/>
      </c>
      <c r="AT608" s="12" t="str">
        <f t="shared" si="773"/>
        <v/>
      </c>
      <c r="AU608" s="12" t="str">
        <f t="shared" si="774"/>
        <v/>
      </c>
      <c r="AV608" s="17"/>
    </row>
    <row r="609" spans="1:48" x14ac:dyDescent="0.25">
      <c r="A609" s="43" t="s">
        <v>374</v>
      </c>
      <c r="B609" s="52" t="s">
        <v>788</v>
      </c>
      <c r="C609" s="44"/>
      <c r="D609" s="43"/>
      <c r="E609" s="52" t="s">
        <v>789</v>
      </c>
      <c r="F609" s="46"/>
      <c r="G609" s="76" t="s">
        <v>975</v>
      </c>
      <c r="H609" s="48" t="s">
        <v>1104</v>
      </c>
      <c r="I609" s="48"/>
      <c r="J609" s="84" t="s">
        <v>1132</v>
      </c>
      <c r="K609" s="85"/>
      <c r="L609" s="47"/>
      <c r="M609" s="3">
        <f>1.735+0.1+1.2+0.15+1.2</f>
        <v>4.3849999999999998</v>
      </c>
      <c r="N609" s="3">
        <f t="shared" si="763"/>
        <v>2.9000000000000004</v>
      </c>
      <c r="O609" s="22">
        <v>0.15</v>
      </c>
      <c r="P609" s="23">
        <v>1</v>
      </c>
      <c r="Q609" s="3">
        <f>0.8*0.8</f>
        <v>0.64000000000000012</v>
      </c>
      <c r="R609" s="3">
        <f>(0.9+0.8*2)*2.17</f>
        <v>5.4249999999999998</v>
      </c>
      <c r="S609" s="3"/>
      <c r="T609" s="3"/>
      <c r="U609" s="3"/>
      <c r="V609" s="23"/>
      <c r="W609" s="3"/>
      <c r="X609" s="3"/>
      <c r="Y609" s="17"/>
      <c r="Z609" s="17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12">
        <f t="shared" si="764"/>
        <v>6.6515000000000013</v>
      </c>
      <c r="AL609" s="12">
        <f t="shared" si="765"/>
        <v>6.6515000000000013</v>
      </c>
      <c r="AM609" s="12">
        <f t="shared" si="766"/>
        <v>0.9977250000000002</v>
      </c>
      <c r="AN609" s="12">
        <f t="shared" si="767"/>
        <v>0.9977250000000002</v>
      </c>
      <c r="AO609" s="12" t="str">
        <f t="shared" si="768"/>
        <v/>
      </c>
      <c r="AP609" s="12">
        <f t="shared" si="769"/>
        <v>4.3849999999999998</v>
      </c>
      <c r="AQ609" s="12" t="str">
        <f t="shared" si="770"/>
        <v/>
      </c>
      <c r="AR609" s="12" t="str">
        <f t="shared" si="771"/>
        <v/>
      </c>
      <c r="AS609" s="12" t="str">
        <f t="shared" si="772"/>
        <v/>
      </c>
      <c r="AT609" s="12" t="str">
        <f t="shared" si="773"/>
        <v/>
      </c>
      <c r="AU609" s="12" t="str">
        <f t="shared" si="774"/>
        <v/>
      </c>
      <c r="AV609" s="17"/>
    </row>
    <row r="610" spans="1:48" x14ac:dyDescent="0.25">
      <c r="A610" s="43" t="s">
        <v>374</v>
      </c>
      <c r="B610" s="52" t="s">
        <v>788</v>
      </c>
      <c r="C610" s="44"/>
      <c r="D610" s="43"/>
      <c r="E610" s="52" t="s">
        <v>790</v>
      </c>
      <c r="F610" s="46"/>
      <c r="G610" s="76" t="s">
        <v>976</v>
      </c>
      <c r="H610" s="48" t="s">
        <v>1090</v>
      </c>
      <c r="I610" s="48"/>
      <c r="J610" s="84" t="s">
        <v>1131</v>
      </c>
      <c r="K610" s="85"/>
      <c r="L610" s="47" t="s">
        <v>1174</v>
      </c>
      <c r="M610" s="3">
        <f>0.83+0.15*2</f>
        <v>1.1299999999999999</v>
      </c>
      <c r="N610" s="3">
        <f t="shared" si="763"/>
        <v>2.9000000000000004</v>
      </c>
      <c r="O610" s="22">
        <v>7.4999999999999997E-2</v>
      </c>
      <c r="P610" s="23">
        <v>1</v>
      </c>
      <c r="Q610" s="3"/>
      <c r="R610" s="3"/>
      <c r="S610" s="3"/>
      <c r="T610" s="3"/>
      <c r="U610" s="3"/>
      <c r="V610" s="23"/>
      <c r="W610" s="3"/>
      <c r="X610" s="3"/>
      <c r="Y610" s="17"/>
      <c r="Z610" s="17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12">
        <f t="shared" si="764"/>
        <v>3.2770000000000001</v>
      </c>
      <c r="AL610" s="12">
        <f t="shared" si="765"/>
        <v>3.2770000000000001</v>
      </c>
      <c r="AM610" s="12">
        <f t="shared" si="766"/>
        <v>0.24577499999999999</v>
      </c>
      <c r="AN610" s="12">
        <f t="shared" si="767"/>
        <v>0.24577499999999999</v>
      </c>
      <c r="AO610" s="12" t="str">
        <f t="shared" si="768"/>
        <v/>
      </c>
      <c r="AP610" s="12">
        <f t="shared" si="769"/>
        <v>1.1299999999999999</v>
      </c>
      <c r="AQ610" s="12" t="str">
        <f t="shared" si="770"/>
        <v/>
      </c>
      <c r="AR610" s="12" t="str">
        <f t="shared" si="771"/>
        <v/>
      </c>
      <c r="AS610" s="12" t="str">
        <f t="shared" si="772"/>
        <v/>
      </c>
      <c r="AT610" s="12" t="str">
        <f t="shared" si="773"/>
        <v/>
      </c>
      <c r="AU610" s="12" t="str">
        <f t="shared" si="774"/>
        <v/>
      </c>
      <c r="AV610" s="17"/>
    </row>
    <row r="611" spans="1:48" x14ac:dyDescent="0.25">
      <c r="A611" s="43" t="s">
        <v>374</v>
      </c>
      <c r="B611" s="52" t="s">
        <v>646</v>
      </c>
      <c r="C611" s="44"/>
      <c r="D611" s="43"/>
      <c r="E611" s="52" t="s">
        <v>642</v>
      </c>
      <c r="F611" s="46"/>
      <c r="G611" s="76" t="s">
        <v>977</v>
      </c>
      <c r="H611" s="48" t="s">
        <v>1093</v>
      </c>
      <c r="I611" s="48"/>
      <c r="J611" s="84" t="s">
        <v>1131</v>
      </c>
      <c r="K611" s="85"/>
      <c r="L611" s="47"/>
      <c r="M611" s="3">
        <f>2.05+0.1+1.6</f>
        <v>3.75</v>
      </c>
      <c r="N611" s="3">
        <f t="shared" si="763"/>
        <v>2.9000000000000004</v>
      </c>
      <c r="O611" s="22">
        <v>0.1</v>
      </c>
      <c r="P611" s="23">
        <v>1</v>
      </c>
      <c r="Q611" s="3"/>
      <c r="R611" s="3"/>
      <c r="S611" s="3"/>
      <c r="T611" s="3"/>
      <c r="U611" s="3"/>
      <c r="V611" s="23"/>
      <c r="W611" s="3"/>
      <c r="X611" s="3"/>
      <c r="Y611" s="17"/>
      <c r="Z611" s="17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12">
        <f t="shared" si="764"/>
        <v>10.875000000000002</v>
      </c>
      <c r="AL611" s="12">
        <f t="shared" si="765"/>
        <v>10.875000000000002</v>
      </c>
      <c r="AM611" s="12">
        <f t="shared" si="766"/>
        <v>1.0875000000000001</v>
      </c>
      <c r="AN611" s="12">
        <f t="shared" si="767"/>
        <v>1.0875000000000001</v>
      </c>
      <c r="AO611" s="12" t="str">
        <f t="shared" si="768"/>
        <v/>
      </c>
      <c r="AP611" s="12">
        <f t="shared" si="769"/>
        <v>3.75</v>
      </c>
      <c r="AQ611" s="12" t="str">
        <f t="shared" si="770"/>
        <v/>
      </c>
      <c r="AR611" s="12" t="str">
        <f t="shared" si="771"/>
        <v/>
      </c>
      <c r="AS611" s="12" t="str">
        <f t="shared" si="772"/>
        <v/>
      </c>
      <c r="AT611" s="12" t="str">
        <f t="shared" si="773"/>
        <v/>
      </c>
      <c r="AU611" s="12" t="str">
        <f t="shared" si="774"/>
        <v/>
      </c>
      <c r="AV611" s="17"/>
    </row>
    <row r="612" spans="1:48" x14ac:dyDescent="0.25">
      <c r="A612" s="43" t="s">
        <v>374</v>
      </c>
      <c r="B612" s="52" t="s">
        <v>646</v>
      </c>
      <c r="C612" s="44"/>
      <c r="D612" s="43"/>
      <c r="E612" s="52" t="s">
        <v>691</v>
      </c>
      <c r="F612" s="46"/>
      <c r="G612" s="76" t="s">
        <v>978</v>
      </c>
      <c r="H612" s="48" t="s">
        <v>1116</v>
      </c>
      <c r="I612" s="48"/>
      <c r="J612" s="84" t="s">
        <v>1151</v>
      </c>
      <c r="K612" s="85"/>
      <c r="L612" s="47" t="s">
        <v>567</v>
      </c>
      <c r="M612" s="3">
        <f>1.735+0.1</f>
        <v>1.8350000000000002</v>
      </c>
      <c r="N612" s="3">
        <f t="shared" si="763"/>
        <v>2.9000000000000004</v>
      </c>
      <c r="O612" s="22">
        <v>0.35</v>
      </c>
      <c r="P612" s="23">
        <v>1</v>
      </c>
      <c r="Q612" s="3"/>
      <c r="R612" s="3"/>
      <c r="S612" s="3"/>
      <c r="T612" s="3"/>
      <c r="U612" s="3"/>
      <c r="V612" s="23"/>
      <c r="W612" s="3"/>
      <c r="X612" s="3"/>
      <c r="Y612" s="17"/>
      <c r="Z612" s="17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12">
        <f t="shared" si="764"/>
        <v>5.3215000000000012</v>
      </c>
      <c r="AL612" s="12">
        <f t="shared" si="765"/>
        <v>5.3215000000000012</v>
      </c>
      <c r="AM612" s="12">
        <f t="shared" si="766"/>
        <v>1.8625250000000002</v>
      </c>
      <c r="AN612" s="12">
        <f t="shared" si="767"/>
        <v>1.8625250000000002</v>
      </c>
      <c r="AO612" s="12" t="str">
        <f t="shared" si="768"/>
        <v/>
      </c>
      <c r="AP612" s="12">
        <f t="shared" si="769"/>
        <v>1.8350000000000002</v>
      </c>
      <c r="AQ612" s="12" t="str">
        <f t="shared" si="770"/>
        <v/>
      </c>
      <c r="AR612" s="12" t="str">
        <f t="shared" si="771"/>
        <v/>
      </c>
      <c r="AS612" s="12" t="str">
        <f t="shared" si="772"/>
        <v/>
      </c>
      <c r="AT612" s="12" t="str">
        <f t="shared" si="773"/>
        <v/>
      </c>
      <c r="AU612" s="12" t="str">
        <f t="shared" si="774"/>
        <v/>
      </c>
      <c r="AV612" s="17"/>
    </row>
    <row r="613" spans="1:48" x14ac:dyDescent="0.25">
      <c r="A613" s="43" t="s">
        <v>374</v>
      </c>
      <c r="B613" s="52" t="s">
        <v>691</v>
      </c>
      <c r="C613" s="44"/>
      <c r="D613" s="43"/>
      <c r="E613" s="52" t="s">
        <v>795</v>
      </c>
      <c r="F613" s="46"/>
      <c r="G613" s="76" t="s">
        <v>979</v>
      </c>
      <c r="H613" s="48" t="s">
        <v>1098</v>
      </c>
      <c r="I613" s="48"/>
      <c r="J613" s="84" t="s">
        <v>1151</v>
      </c>
      <c r="K613" s="85"/>
      <c r="L613" s="47" t="s">
        <v>567</v>
      </c>
      <c r="M613" s="3">
        <f>1.2*2+0.15</f>
        <v>2.5499999999999998</v>
      </c>
      <c r="N613" s="3">
        <f t="shared" si="763"/>
        <v>2.9000000000000004</v>
      </c>
      <c r="O613" s="22">
        <v>0.25</v>
      </c>
      <c r="P613" s="23">
        <v>1</v>
      </c>
      <c r="Q613" s="3"/>
      <c r="R613" s="3"/>
      <c r="S613" s="3"/>
      <c r="T613" s="3"/>
      <c r="U613" s="3"/>
      <c r="V613" s="23"/>
      <c r="W613" s="3"/>
      <c r="X613" s="3"/>
      <c r="Y613" s="17"/>
      <c r="Z613" s="17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12">
        <f t="shared" si="764"/>
        <v>7.3950000000000005</v>
      </c>
      <c r="AL613" s="12">
        <f t="shared" si="765"/>
        <v>7.3950000000000005</v>
      </c>
      <c r="AM613" s="12">
        <f t="shared" si="766"/>
        <v>1.8487500000000001</v>
      </c>
      <c r="AN613" s="12">
        <f t="shared" si="767"/>
        <v>1.8487500000000001</v>
      </c>
      <c r="AO613" s="12" t="str">
        <f t="shared" si="768"/>
        <v/>
      </c>
      <c r="AP613" s="12">
        <f t="shared" si="769"/>
        <v>2.5499999999999998</v>
      </c>
      <c r="AQ613" s="12" t="str">
        <f t="shared" si="770"/>
        <v/>
      </c>
      <c r="AR613" s="12" t="str">
        <f t="shared" si="771"/>
        <v/>
      </c>
      <c r="AS613" s="12" t="str">
        <f t="shared" si="772"/>
        <v/>
      </c>
      <c r="AT613" s="12" t="str">
        <f t="shared" si="773"/>
        <v/>
      </c>
      <c r="AU613" s="12" t="str">
        <f t="shared" si="774"/>
        <v/>
      </c>
      <c r="AV613" s="17"/>
    </row>
    <row r="614" spans="1:48" x14ac:dyDescent="0.25">
      <c r="A614" s="43" t="s">
        <v>374</v>
      </c>
      <c r="B614" s="52" t="s">
        <v>642</v>
      </c>
      <c r="C614" s="44"/>
      <c r="D614" s="43"/>
      <c r="E614" s="52" t="s">
        <v>796</v>
      </c>
      <c r="F614" s="46"/>
      <c r="G614" s="76" t="s">
        <v>980</v>
      </c>
      <c r="H614" s="48" t="s">
        <v>1097</v>
      </c>
      <c r="I614" s="48"/>
      <c r="J614" s="84" t="s">
        <v>1131</v>
      </c>
      <c r="K614" s="85"/>
      <c r="L614" s="47"/>
      <c r="M614" s="3">
        <f>2.05+0.1+1.6</f>
        <v>3.75</v>
      </c>
      <c r="N614" s="3">
        <f t="shared" si="763"/>
        <v>2.9000000000000004</v>
      </c>
      <c r="O614" s="22">
        <v>0.15</v>
      </c>
      <c r="P614" s="23">
        <v>1</v>
      </c>
      <c r="Q614" s="3"/>
      <c r="R614" s="3"/>
      <c r="S614" s="3"/>
      <c r="T614" s="3"/>
      <c r="U614" s="3"/>
      <c r="V614" s="23"/>
      <c r="W614" s="3"/>
      <c r="X614" s="3"/>
      <c r="Y614" s="17"/>
      <c r="Z614" s="17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12">
        <f t="shared" si="764"/>
        <v>10.875000000000002</v>
      </c>
      <c r="AL614" s="12">
        <f t="shared" si="765"/>
        <v>10.875000000000002</v>
      </c>
      <c r="AM614" s="12">
        <f t="shared" si="766"/>
        <v>1.6312500000000003</v>
      </c>
      <c r="AN614" s="12">
        <f t="shared" si="767"/>
        <v>1.6312500000000003</v>
      </c>
      <c r="AO614" s="12" t="str">
        <f t="shared" si="768"/>
        <v/>
      </c>
      <c r="AP614" s="12">
        <f t="shared" si="769"/>
        <v>3.75</v>
      </c>
      <c r="AQ614" s="12" t="str">
        <f t="shared" si="770"/>
        <v/>
      </c>
      <c r="AR614" s="12" t="str">
        <f t="shared" si="771"/>
        <v/>
      </c>
      <c r="AS614" s="12" t="str">
        <f t="shared" si="772"/>
        <v/>
      </c>
      <c r="AT614" s="12" t="str">
        <f t="shared" si="773"/>
        <v/>
      </c>
      <c r="AU614" s="12" t="str">
        <f t="shared" si="774"/>
        <v/>
      </c>
      <c r="AV614" s="17"/>
    </row>
    <row r="615" spans="1:48" x14ac:dyDescent="0.25">
      <c r="A615" s="43" t="s">
        <v>374</v>
      </c>
      <c r="B615" s="52" t="s">
        <v>643</v>
      </c>
      <c r="C615" s="44"/>
      <c r="D615" s="43"/>
      <c r="E615" s="52" t="s">
        <v>640</v>
      </c>
      <c r="F615" s="46"/>
      <c r="G615" s="76" t="s">
        <v>981</v>
      </c>
      <c r="H615" s="48" t="s">
        <v>1093</v>
      </c>
      <c r="I615" s="48"/>
      <c r="J615" s="84" t="s">
        <v>1131</v>
      </c>
      <c r="K615" s="85"/>
      <c r="L615" s="47"/>
      <c r="M615" s="3">
        <v>1.2</v>
      </c>
      <c r="N615" s="3">
        <f t="shared" si="763"/>
        <v>2.9000000000000004</v>
      </c>
      <c r="O615" s="22">
        <v>0.1</v>
      </c>
      <c r="P615" s="23">
        <v>1</v>
      </c>
      <c r="Q615" s="3"/>
      <c r="R615" s="3">
        <f>0.8*2.17</f>
        <v>1.736</v>
      </c>
      <c r="S615" s="3"/>
      <c r="T615" s="3"/>
      <c r="U615" s="3"/>
      <c r="V615" s="23"/>
      <c r="W615" s="3"/>
      <c r="X615" s="3"/>
      <c r="Y615" s="17"/>
      <c r="Z615" s="17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12">
        <f t="shared" si="764"/>
        <v>1.7440000000000004</v>
      </c>
      <c r="AL615" s="12">
        <f t="shared" si="765"/>
        <v>1.7440000000000004</v>
      </c>
      <c r="AM615" s="12">
        <f t="shared" si="766"/>
        <v>0.17440000000000005</v>
      </c>
      <c r="AN615" s="12">
        <f t="shared" si="767"/>
        <v>0.17440000000000005</v>
      </c>
      <c r="AO615" s="12" t="str">
        <f t="shared" si="768"/>
        <v/>
      </c>
      <c r="AP615" s="12">
        <f t="shared" si="769"/>
        <v>1.2</v>
      </c>
      <c r="AQ615" s="12" t="str">
        <f t="shared" si="770"/>
        <v/>
      </c>
      <c r="AR615" s="12" t="str">
        <f t="shared" si="771"/>
        <v/>
      </c>
      <c r="AS615" s="12" t="str">
        <f t="shared" si="772"/>
        <v/>
      </c>
      <c r="AT615" s="12" t="str">
        <f t="shared" si="773"/>
        <v/>
      </c>
      <c r="AU615" s="12" t="str">
        <f t="shared" si="774"/>
        <v/>
      </c>
      <c r="AV615" s="17"/>
    </row>
    <row r="616" spans="1:48" x14ac:dyDescent="0.25">
      <c r="A616" s="43" t="s">
        <v>374</v>
      </c>
      <c r="B616" s="52" t="s">
        <v>628</v>
      </c>
      <c r="C616" s="44"/>
      <c r="D616" s="43"/>
      <c r="E616" s="52" t="s">
        <v>690</v>
      </c>
      <c r="F616" s="46"/>
      <c r="G616" s="76" t="s">
        <v>982</v>
      </c>
      <c r="H616" s="48" t="s">
        <v>1093</v>
      </c>
      <c r="I616" s="48"/>
      <c r="J616" s="84" t="s">
        <v>1131</v>
      </c>
      <c r="K616" s="85"/>
      <c r="L616" s="47"/>
      <c r="M616" s="3">
        <v>1.2</v>
      </c>
      <c r="N616" s="3">
        <f t="shared" si="763"/>
        <v>2.9000000000000004</v>
      </c>
      <c r="O616" s="22">
        <v>0.1</v>
      </c>
      <c r="P616" s="23">
        <v>1</v>
      </c>
      <c r="Q616" s="3"/>
      <c r="R616" s="3">
        <f>0.8*2.17</f>
        <v>1.736</v>
      </c>
      <c r="S616" s="3"/>
      <c r="T616" s="3"/>
      <c r="U616" s="3"/>
      <c r="V616" s="23"/>
      <c r="W616" s="3"/>
      <c r="X616" s="3"/>
      <c r="Y616" s="17"/>
      <c r="Z616" s="17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12">
        <f t="shared" si="764"/>
        <v>1.7440000000000004</v>
      </c>
      <c r="AL616" s="12">
        <f t="shared" si="765"/>
        <v>1.7440000000000004</v>
      </c>
      <c r="AM616" s="12">
        <f t="shared" si="766"/>
        <v>0.17440000000000005</v>
      </c>
      <c r="AN616" s="12">
        <f t="shared" si="767"/>
        <v>0.17440000000000005</v>
      </c>
      <c r="AO616" s="12" t="str">
        <f t="shared" si="768"/>
        <v/>
      </c>
      <c r="AP616" s="12">
        <f t="shared" si="769"/>
        <v>1.2</v>
      </c>
      <c r="AQ616" s="12" t="str">
        <f t="shared" si="770"/>
        <v/>
      </c>
      <c r="AR616" s="12" t="str">
        <f t="shared" si="771"/>
        <v/>
      </c>
      <c r="AS616" s="12" t="str">
        <f t="shared" si="772"/>
        <v/>
      </c>
      <c r="AT616" s="12" t="str">
        <f t="shared" si="773"/>
        <v/>
      </c>
      <c r="AU616" s="12" t="str">
        <f t="shared" si="774"/>
        <v/>
      </c>
      <c r="AV616" s="17"/>
    </row>
    <row r="617" spans="1:48" x14ac:dyDescent="0.25">
      <c r="A617" s="43" t="s">
        <v>374</v>
      </c>
      <c r="B617" s="52" t="s">
        <v>692</v>
      </c>
      <c r="C617" s="44"/>
      <c r="D617" s="43"/>
      <c r="E617" s="52" t="s">
        <v>822</v>
      </c>
      <c r="F617" s="46"/>
      <c r="G617" s="76" t="s">
        <v>983</v>
      </c>
      <c r="H617" s="48" t="s">
        <v>1094</v>
      </c>
      <c r="I617" s="48"/>
      <c r="J617" s="84"/>
      <c r="K617" s="85"/>
      <c r="L617" s="47"/>
      <c r="M617" s="3">
        <v>0.2</v>
      </c>
      <c r="N617" s="3">
        <f t="shared" si="763"/>
        <v>2.9000000000000004</v>
      </c>
      <c r="O617" s="22">
        <v>0.24</v>
      </c>
      <c r="P617" s="23">
        <v>1</v>
      </c>
      <c r="Q617" s="3"/>
      <c r="R617" s="3"/>
      <c r="S617" s="3"/>
      <c r="T617" s="3"/>
      <c r="U617" s="3"/>
      <c r="V617" s="23"/>
      <c r="W617" s="3"/>
      <c r="X617" s="3"/>
      <c r="Y617" s="17"/>
      <c r="Z617" s="17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12">
        <f t="shared" si="764"/>
        <v>0.58000000000000007</v>
      </c>
      <c r="AL617" s="12">
        <f t="shared" si="765"/>
        <v>0.58000000000000007</v>
      </c>
      <c r="AM617" s="12">
        <f t="shared" si="766"/>
        <v>0.13920000000000002</v>
      </c>
      <c r="AN617" s="12">
        <f t="shared" si="767"/>
        <v>0.13920000000000002</v>
      </c>
      <c r="AO617" s="12" t="str">
        <f t="shared" si="768"/>
        <v/>
      </c>
      <c r="AP617" s="12">
        <f t="shared" si="769"/>
        <v>0.2</v>
      </c>
      <c r="AQ617" s="12" t="str">
        <f t="shared" si="770"/>
        <v/>
      </c>
      <c r="AR617" s="12" t="str">
        <f t="shared" si="771"/>
        <v/>
      </c>
      <c r="AS617" s="12" t="str">
        <f t="shared" si="772"/>
        <v/>
      </c>
      <c r="AT617" s="12" t="str">
        <f t="shared" si="773"/>
        <v/>
      </c>
      <c r="AU617" s="12" t="str">
        <f t="shared" si="774"/>
        <v/>
      </c>
      <c r="AV617" s="17"/>
    </row>
    <row r="618" spans="1:48" x14ac:dyDescent="0.25">
      <c r="A618" s="43" t="s">
        <v>374</v>
      </c>
      <c r="B618" s="52" t="s">
        <v>627</v>
      </c>
      <c r="C618" s="44"/>
      <c r="D618" s="43"/>
      <c r="E618" s="52" t="s">
        <v>517</v>
      </c>
      <c r="F618" s="46"/>
      <c r="G618" s="76" t="s">
        <v>984</v>
      </c>
      <c r="H618" s="81" t="s">
        <v>1093</v>
      </c>
      <c r="I618" s="48"/>
      <c r="J618" s="84" t="s">
        <v>1125</v>
      </c>
      <c r="K618" s="85"/>
      <c r="L618" s="47" t="s">
        <v>517</v>
      </c>
      <c r="M618" s="3">
        <f>1.6+0.6</f>
        <v>2.2000000000000002</v>
      </c>
      <c r="N618" s="3">
        <f t="shared" si="763"/>
        <v>2.9000000000000004</v>
      </c>
      <c r="O618" s="22">
        <v>0.1</v>
      </c>
      <c r="P618" s="23">
        <v>1</v>
      </c>
      <c r="Q618" s="3"/>
      <c r="R618" s="3"/>
      <c r="S618" s="3"/>
      <c r="T618" s="3"/>
      <c r="U618" s="3"/>
      <c r="V618" s="23"/>
      <c r="W618" s="3"/>
      <c r="X618" s="3"/>
      <c r="Y618" s="17"/>
      <c r="Z618" s="17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12">
        <f t="shared" si="764"/>
        <v>6.3800000000000017</v>
      </c>
      <c r="AL618" s="12">
        <f t="shared" si="765"/>
        <v>6.3800000000000017</v>
      </c>
      <c r="AM618" s="12">
        <f t="shared" si="766"/>
        <v>0.63800000000000023</v>
      </c>
      <c r="AN618" s="12">
        <f t="shared" si="767"/>
        <v>0.63800000000000023</v>
      </c>
      <c r="AO618" s="12" t="str">
        <f t="shared" si="768"/>
        <v/>
      </c>
      <c r="AP618" s="12">
        <f t="shared" si="769"/>
        <v>2.2000000000000002</v>
      </c>
      <c r="AQ618" s="12" t="str">
        <f t="shared" si="770"/>
        <v/>
      </c>
      <c r="AR618" s="12" t="str">
        <f t="shared" si="771"/>
        <v/>
      </c>
      <c r="AS618" s="12" t="str">
        <f t="shared" si="772"/>
        <v/>
      </c>
      <c r="AT618" s="12" t="str">
        <f t="shared" si="773"/>
        <v/>
      </c>
      <c r="AU618" s="12" t="str">
        <f t="shared" si="774"/>
        <v/>
      </c>
      <c r="AV618" s="17"/>
    </row>
    <row r="619" spans="1:48" x14ac:dyDescent="0.25">
      <c r="A619" s="43" t="s">
        <v>374</v>
      </c>
      <c r="B619" s="52" t="s">
        <v>630</v>
      </c>
      <c r="C619" s="44"/>
      <c r="D619" s="43"/>
      <c r="E619" s="52" t="s">
        <v>641</v>
      </c>
      <c r="F619" s="46"/>
      <c r="G619" s="76" t="s">
        <v>985</v>
      </c>
      <c r="H619" s="48" t="s">
        <v>1103</v>
      </c>
      <c r="I619" s="48"/>
      <c r="J619" s="84" t="s">
        <v>1145</v>
      </c>
      <c r="K619" s="85"/>
      <c r="L619" s="47" t="s">
        <v>567</v>
      </c>
      <c r="M619" s="3">
        <f>1.35+0.2</f>
        <v>1.55</v>
      </c>
      <c r="N619" s="3">
        <f t="shared" si="763"/>
        <v>2.9000000000000004</v>
      </c>
      <c r="O619" s="22">
        <v>0.4</v>
      </c>
      <c r="P619" s="23">
        <v>1</v>
      </c>
      <c r="Q619" s="3"/>
      <c r="R619" s="3"/>
      <c r="S619" s="3"/>
      <c r="T619" s="3"/>
      <c r="U619" s="3"/>
      <c r="V619" s="23"/>
      <c r="W619" s="3"/>
      <c r="X619" s="3"/>
      <c r="Y619" s="17"/>
      <c r="Z619" s="17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12">
        <f t="shared" si="764"/>
        <v>4.495000000000001</v>
      </c>
      <c r="AL619" s="12">
        <f t="shared" si="765"/>
        <v>4.495000000000001</v>
      </c>
      <c r="AM619" s="12">
        <f t="shared" si="766"/>
        <v>1.7980000000000005</v>
      </c>
      <c r="AN619" s="12">
        <f t="shared" si="767"/>
        <v>1.7980000000000005</v>
      </c>
      <c r="AO619" s="12" t="str">
        <f t="shared" si="768"/>
        <v/>
      </c>
      <c r="AP619" s="12">
        <f t="shared" si="769"/>
        <v>1.55</v>
      </c>
      <c r="AQ619" s="12" t="str">
        <f t="shared" si="770"/>
        <v/>
      </c>
      <c r="AR619" s="12" t="str">
        <f t="shared" si="771"/>
        <v/>
      </c>
      <c r="AS619" s="12" t="str">
        <f t="shared" si="772"/>
        <v/>
      </c>
      <c r="AT619" s="12" t="str">
        <f t="shared" si="773"/>
        <v/>
      </c>
      <c r="AU619" s="12" t="str">
        <f t="shared" si="774"/>
        <v/>
      </c>
      <c r="AV619" s="17"/>
    </row>
    <row r="620" spans="1:48" x14ac:dyDescent="0.25">
      <c r="A620" s="43" t="s">
        <v>374</v>
      </c>
      <c r="B620" s="52" t="s">
        <v>630</v>
      </c>
      <c r="C620" s="44"/>
      <c r="D620" s="43"/>
      <c r="E620" s="52"/>
      <c r="F620" s="46"/>
      <c r="G620" s="76" t="s">
        <v>1122</v>
      </c>
      <c r="H620" s="48" t="s">
        <v>1090</v>
      </c>
      <c r="I620" s="48"/>
      <c r="J620" s="84" t="s">
        <v>1125</v>
      </c>
      <c r="K620" s="85"/>
      <c r="L620" s="47" t="s">
        <v>1175</v>
      </c>
      <c r="M620" s="3">
        <v>1.35</v>
      </c>
      <c r="N620" s="3">
        <f t="shared" si="763"/>
        <v>2.9000000000000004</v>
      </c>
      <c r="O620" s="22">
        <v>0.4</v>
      </c>
      <c r="P620" s="23">
        <v>1</v>
      </c>
      <c r="Q620" s="3"/>
      <c r="R620" s="3"/>
      <c r="S620" s="3"/>
      <c r="T620" s="3"/>
      <c r="U620" s="3"/>
      <c r="V620" s="23"/>
      <c r="W620" s="3"/>
      <c r="X620" s="3"/>
      <c r="Y620" s="17"/>
      <c r="Z620" s="17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12">
        <f t="shared" si="764"/>
        <v>3.9150000000000009</v>
      </c>
      <c r="AL620" s="12">
        <f t="shared" si="765"/>
        <v>3.9150000000000009</v>
      </c>
      <c r="AM620" s="12">
        <f t="shared" si="766"/>
        <v>1.5660000000000005</v>
      </c>
      <c r="AN620" s="12">
        <f t="shared" si="767"/>
        <v>1.5660000000000005</v>
      </c>
      <c r="AO620" s="12" t="str">
        <f t="shared" si="768"/>
        <v/>
      </c>
      <c r="AP620" s="12">
        <f t="shared" si="769"/>
        <v>1.35</v>
      </c>
      <c r="AQ620" s="12" t="str">
        <f t="shared" si="770"/>
        <v/>
      </c>
      <c r="AR620" s="12" t="str">
        <f t="shared" si="771"/>
        <v/>
      </c>
      <c r="AS620" s="12" t="str">
        <f t="shared" si="772"/>
        <v/>
      </c>
      <c r="AT620" s="12" t="str">
        <f t="shared" si="773"/>
        <v/>
      </c>
      <c r="AU620" s="12" t="str">
        <f t="shared" si="774"/>
        <v/>
      </c>
      <c r="AV620" s="17"/>
    </row>
    <row r="621" spans="1:48" x14ac:dyDescent="0.25">
      <c r="A621" s="43" t="s">
        <v>374</v>
      </c>
      <c r="B621" s="52" t="s">
        <v>636</v>
      </c>
      <c r="C621" s="44"/>
      <c r="D621" s="43"/>
      <c r="E621" s="52" t="s">
        <v>641</v>
      </c>
      <c r="F621" s="46"/>
      <c r="G621" s="76" t="s">
        <v>986</v>
      </c>
      <c r="H621" s="48" t="s">
        <v>1092</v>
      </c>
      <c r="I621" s="48"/>
      <c r="J621" s="84" t="s">
        <v>1131</v>
      </c>
      <c r="K621" s="85"/>
      <c r="L621" s="47" t="s">
        <v>567</v>
      </c>
      <c r="M621" s="3">
        <f>3.77-1.35-0.2</f>
        <v>2.2199999999999998</v>
      </c>
      <c r="N621" s="3">
        <f t="shared" si="763"/>
        <v>2.9000000000000004</v>
      </c>
      <c r="O621" s="22">
        <v>0.2</v>
      </c>
      <c r="P621" s="23">
        <v>1</v>
      </c>
      <c r="Q621" s="3"/>
      <c r="R621" s="3"/>
      <c r="S621" s="3"/>
      <c r="T621" s="3"/>
      <c r="U621" s="3"/>
      <c r="V621" s="23"/>
      <c r="W621" s="3"/>
      <c r="X621" s="3"/>
      <c r="Y621" s="17"/>
      <c r="Z621" s="17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12">
        <f t="shared" si="764"/>
        <v>6.4379999999999997</v>
      </c>
      <c r="AL621" s="12">
        <f t="shared" si="765"/>
        <v>6.4379999999999997</v>
      </c>
      <c r="AM621" s="12">
        <f t="shared" si="766"/>
        <v>1.2876000000000001</v>
      </c>
      <c r="AN621" s="12">
        <f t="shared" si="767"/>
        <v>1.2876000000000001</v>
      </c>
      <c r="AO621" s="12" t="str">
        <f t="shared" si="768"/>
        <v/>
      </c>
      <c r="AP621" s="12">
        <f t="shared" si="769"/>
        <v>2.2199999999999998</v>
      </c>
      <c r="AQ621" s="12" t="str">
        <f t="shared" si="770"/>
        <v/>
      </c>
      <c r="AR621" s="12" t="str">
        <f t="shared" si="771"/>
        <v/>
      </c>
      <c r="AS621" s="12" t="str">
        <f t="shared" si="772"/>
        <v/>
      </c>
      <c r="AT621" s="12" t="str">
        <f t="shared" si="773"/>
        <v/>
      </c>
      <c r="AU621" s="12" t="str">
        <f t="shared" si="774"/>
        <v/>
      </c>
      <c r="AV621" s="17"/>
    </row>
    <row r="622" spans="1:48" x14ac:dyDescent="0.25">
      <c r="A622" s="43" t="s">
        <v>374</v>
      </c>
      <c r="B622" s="52" t="s">
        <v>636</v>
      </c>
      <c r="C622" s="44"/>
      <c r="D622" s="43"/>
      <c r="E622" s="52" t="s">
        <v>630</v>
      </c>
      <c r="F622" s="46"/>
      <c r="G622" s="76" t="s">
        <v>987</v>
      </c>
      <c r="H622" s="48" t="s">
        <v>1103</v>
      </c>
      <c r="I622" s="48"/>
      <c r="J622" s="84" t="s">
        <v>1145</v>
      </c>
      <c r="K622" s="85"/>
      <c r="L622" s="47" t="s">
        <v>567</v>
      </c>
      <c r="M622" s="3">
        <f>1.75+0.15+0.2-0.4</f>
        <v>1.7000000000000002</v>
      </c>
      <c r="N622" s="3">
        <f t="shared" si="763"/>
        <v>2.9000000000000004</v>
      </c>
      <c r="O622" s="22">
        <v>0.2</v>
      </c>
      <c r="P622" s="23">
        <v>1</v>
      </c>
      <c r="Q622" s="3"/>
      <c r="R622" s="3"/>
      <c r="S622" s="3"/>
      <c r="T622" s="3"/>
      <c r="U622" s="3"/>
      <c r="V622" s="23"/>
      <c r="W622" s="3"/>
      <c r="X622" s="3"/>
      <c r="Y622" s="17"/>
      <c r="Z622" s="17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12">
        <f t="shared" si="764"/>
        <v>4.9300000000000015</v>
      </c>
      <c r="AL622" s="12">
        <f t="shared" si="765"/>
        <v>4.9300000000000015</v>
      </c>
      <c r="AM622" s="12">
        <f t="shared" si="766"/>
        <v>0.98600000000000032</v>
      </c>
      <c r="AN622" s="12">
        <f t="shared" si="767"/>
        <v>0.98600000000000032</v>
      </c>
      <c r="AO622" s="12" t="str">
        <f t="shared" si="768"/>
        <v/>
      </c>
      <c r="AP622" s="12">
        <f t="shared" si="769"/>
        <v>1.7000000000000002</v>
      </c>
      <c r="AQ622" s="12" t="str">
        <f t="shared" si="770"/>
        <v/>
      </c>
      <c r="AR622" s="12" t="str">
        <f t="shared" si="771"/>
        <v/>
      </c>
      <c r="AS622" s="12" t="str">
        <f t="shared" si="772"/>
        <v/>
      </c>
      <c r="AT622" s="12" t="str">
        <f t="shared" si="773"/>
        <v/>
      </c>
      <c r="AU622" s="12" t="str">
        <f t="shared" si="774"/>
        <v/>
      </c>
      <c r="AV622" s="17"/>
    </row>
    <row r="623" spans="1:48" x14ac:dyDescent="0.25">
      <c r="A623" s="43" t="s">
        <v>374</v>
      </c>
      <c r="B623" s="52" t="s">
        <v>636</v>
      </c>
      <c r="C623" s="44"/>
      <c r="D623" s="43"/>
      <c r="E623" s="52" t="s">
        <v>631</v>
      </c>
      <c r="F623" s="46"/>
      <c r="G623" s="76" t="s">
        <v>988</v>
      </c>
      <c r="H623" s="48" t="s">
        <v>1104</v>
      </c>
      <c r="I623" s="48"/>
      <c r="J623" s="84" t="s">
        <v>1131</v>
      </c>
      <c r="K623" s="85"/>
      <c r="L623" s="47"/>
      <c r="M623" s="3">
        <f>1.45+0.1+0.67</f>
        <v>2.2200000000000002</v>
      </c>
      <c r="N623" s="3">
        <f t="shared" si="763"/>
        <v>2.9000000000000004</v>
      </c>
      <c r="O623" s="22">
        <v>0.15</v>
      </c>
      <c r="P623" s="23">
        <v>1</v>
      </c>
      <c r="Q623" s="3"/>
      <c r="R623" s="3"/>
      <c r="S623" s="3"/>
      <c r="T623" s="3"/>
      <c r="U623" s="3"/>
      <c r="V623" s="23"/>
      <c r="W623" s="3"/>
      <c r="X623" s="3"/>
      <c r="Y623" s="17"/>
      <c r="Z623" s="17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12">
        <f t="shared" si="764"/>
        <v>6.4380000000000015</v>
      </c>
      <c r="AL623" s="12">
        <f t="shared" si="765"/>
        <v>6.4380000000000015</v>
      </c>
      <c r="AM623" s="12">
        <f t="shared" si="766"/>
        <v>0.96570000000000022</v>
      </c>
      <c r="AN623" s="12">
        <f t="shared" si="767"/>
        <v>0.96570000000000022</v>
      </c>
      <c r="AO623" s="12" t="str">
        <f t="shared" si="768"/>
        <v/>
      </c>
      <c r="AP623" s="12">
        <f t="shared" si="769"/>
        <v>2.2200000000000002</v>
      </c>
      <c r="AQ623" s="12" t="str">
        <f t="shared" si="770"/>
        <v/>
      </c>
      <c r="AR623" s="12" t="str">
        <f t="shared" si="771"/>
        <v/>
      </c>
      <c r="AS623" s="12" t="str">
        <f t="shared" si="772"/>
        <v/>
      </c>
      <c r="AT623" s="12" t="str">
        <f t="shared" si="773"/>
        <v/>
      </c>
      <c r="AU623" s="12" t="str">
        <f t="shared" si="774"/>
        <v/>
      </c>
      <c r="AV623" s="17"/>
    </row>
    <row r="624" spans="1:48" x14ac:dyDescent="0.25">
      <c r="A624" s="43" t="s">
        <v>374</v>
      </c>
      <c r="B624" s="52" t="s">
        <v>630</v>
      </c>
      <c r="C624" s="44"/>
      <c r="D624" s="43"/>
      <c r="E624" s="52" t="s">
        <v>631</v>
      </c>
      <c r="F624" s="46"/>
      <c r="G624" s="76" t="s">
        <v>989</v>
      </c>
      <c r="H624" s="48" t="s">
        <v>1093</v>
      </c>
      <c r="I624" s="48"/>
      <c r="J624" s="84" t="s">
        <v>1131</v>
      </c>
      <c r="K624" s="85"/>
      <c r="L624" s="47"/>
      <c r="M624" s="3">
        <v>0.9</v>
      </c>
      <c r="N624" s="3">
        <f t="shared" si="763"/>
        <v>2.9000000000000004</v>
      </c>
      <c r="O624" s="22">
        <v>0.1</v>
      </c>
      <c r="P624" s="23">
        <v>1</v>
      </c>
      <c r="Q624" s="3"/>
      <c r="R624" s="3"/>
      <c r="S624" s="3"/>
      <c r="T624" s="3"/>
      <c r="U624" s="3"/>
      <c r="V624" s="23"/>
      <c r="W624" s="3"/>
      <c r="X624" s="3"/>
      <c r="Y624" s="17"/>
      <c r="Z624" s="17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12">
        <f t="shared" si="764"/>
        <v>2.6100000000000003</v>
      </c>
      <c r="AL624" s="12">
        <f t="shared" si="765"/>
        <v>2.6100000000000003</v>
      </c>
      <c r="AM624" s="12">
        <f t="shared" si="766"/>
        <v>0.26100000000000007</v>
      </c>
      <c r="AN624" s="12">
        <f t="shared" si="767"/>
        <v>0.26100000000000007</v>
      </c>
      <c r="AO624" s="12" t="str">
        <f t="shared" si="768"/>
        <v/>
      </c>
      <c r="AP624" s="12">
        <f t="shared" si="769"/>
        <v>0.9</v>
      </c>
      <c r="AQ624" s="12" t="str">
        <f t="shared" si="770"/>
        <v/>
      </c>
      <c r="AR624" s="12" t="str">
        <f t="shared" si="771"/>
        <v/>
      </c>
      <c r="AS624" s="12" t="str">
        <f t="shared" si="772"/>
        <v/>
      </c>
      <c r="AT624" s="12" t="str">
        <f t="shared" si="773"/>
        <v/>
      </c>
      <c r="AU624" s="12" t="str">
        <f t="shared" si="774"/>
        <v/>
      </c>
      <c r="AV624" s="17"/>
    </row>
    <row r="625" spans="1:48" x14ac:dyDescent="0.25">
      <c r="A625" s="43" t="s">
        <v>374</v>
      </c>
      <c r="B625" s="52" t="s">
        <v>641</v>
      </c>
      <c r="C625" s="44"/>
      <c r="D625" s="43"/>
      <c r="E625" s="52" t="s">
        <v>627</v>
      </c>
      <c r="F625" s="46"/>
      <c r="G625" s="76" t="s">
        <v>990</v>
      </c>
      <c r="H625" s="48" t="s">
        <v>1090</v>
      </c>
      <c r="I625" s="48"/>
      <c r="J625" s="84" t="s">
        <v>1131</v>
      </c>
      <c r="K625" s="85"/>
      <c r="L625" s="47" t="s">
        <v>1174</v>
      </c>
      <c r="M625" s="3">
        <v>3.8</v>
      </c>
      <c r="N625" s="3">
        <f t="shared" si="763"/>
        <v>2.9000000000000004</v>
      </c>
      <c r="O625" s="22">
        <v>0.1</v>
      </c>
      <c r="P625" s="23">
        <v>1</v>
      </c>
      <c r="Q625" s="3"/>
      <c r="R625" s="3"/>
      <c r="S625" s="3"/>
      <c r="T625" s="3"/>
      <c r="U625" s="3"/>
      <c r="V625" s="23"/>
      <c r="W625" s="3"/>
      <c r="X625" s="3"/>
      <c r="Y625" s="17"/>
      <c r="Z625" s="17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12">
        <f t="shared" si="764"/>
        <v>11.020000000000001</v>
      </c>
      <c r="AL625" s="12">
        <f t="shared" si="765"/>
        <v>11.020000000000001</v>
      </c>
      <c r="AM625" s="12">
        <f t="shared" si="766"/>
        <v>1.1020000000000001</v>
      </c>
      <c r="AN625" s="12">
        <f t="shared" si="767"/>
        <v>1.1020000000000001</v>
      </c>
      <c r="AO625" s="12" t="str">
        <f t="shared" si="768"/>
        <v/>
      </c>
      <c r="AP625" s="12">
        <f t="shared" si="769"/>
        <v>3.8</v>
      </c>
      <c r="AQ625" s="12" t="str">
        <f t="shared" si="770"/>
        <v/>
      </c>
      <c r="AR625" s="12" t="str">
        <f t="shared" si="771"/>
        <v/>
      </c>
      <c r="AS625" s="12" t="str">
        <f t="shared" si="772"/>
        <v/>
      </c>
      <c r="AT625" s="12" t="str">
        <f t="shared" si="773"/>
        <v/>
      </c>
      <c r="AU625" s="12" t="str">
        <f t="shared" si="774"/>
        <v/>
      </c>
      <c r="AV625" s="17"/>
    </row>
    <row r="626" spans="1:48" x14ac:dyDescent="0.25">
      <c r="A626" s="43" t="s">
        <v>374</v>
      </c>
      <c r="B626" s="52" t="s">
        <v>821</v>
      </c>
      <c r="C626" s="44"/>
      <c r="D626" s="43"/>
      <c r="E626" s="52" t="s">
        <v>843</v>
      </c>
      <c r="F626" s="46"/>
      <c r="G626" s="76" t="s">
        <v>991</v>
      </c>
      <c r="H626" s="48" t="s">
        <v>1104</v>
      </c>
      <c r="I626" s="48"/>
      <c r="J626" s="84" t="s">
        <v>1125</v>
      </c>
      <c r="K626" s="85"/>
      <c r="L626" s="47" t="s">
        <v>622</v>
      </c>
      <c r="M626" s="3">
        <f>2.14+2.845</f>
        <v>4.9850000000000003</v>
      </c>
      <c r="N626" s="3">
        <f t="shared" si="763"/>
        <v>2.9000000000000004</v>
      </c>
      <c r="O626" s="22">
        <v>0.155</v>
      </c>
      <c r="P626" s="23">
        <v>1</v>
      </c>
      <c r="Q626" s="3"/>
      <c r="R626" s="3"/>
      <c r="S626" s="3"/>
      <c r="T626" s="3"/>
      <c r="U626" s="3"/>
      <c r="V626" s="23"/>
      <c r="W626" s="3"/>
      <c r="X626" s="3"/>
      <c r="Y626" s="17"/>
      <c r="Z626" s="17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12">
        <f t="shared" si="764"/>
        <v>14.456500000000002</v>
      </c>
      <c r="AL626" s="12">
        <f t="shared" si="765"/>
        <v>14.456500000000002</v>
      </c>
      <c r="AM626" s="12">
        <f t="shared" si="766"/>
        <v>2.2407575000000004</v>
      </c>
      <c r="AN626" s="12">
        <f t="shared" si="767"/>
        <v>2.2407575000000004</v>
      </c>
      <c r="AO626" s="12" t="str">
        <f t="shared" si="768"/>
        <v/>
      </c>
      <c r="AP626" s="12">
        <f t="shared" si="769"/>
        <v>4.9850000000000003</v>
      </c>
      <c r="AQ626" s="12" t="str">
        <f t="shared" si="770"/>
        <v/>
      </c>
      <c r="AR626" s="12" t="str">
        <f t="shared" si="771"/>
        <v/>
      </c>
      <c r="AS626" s="12" t="str">
        <f t="shared" si="772"/>
        <v/>
      </c>
      <c r="AT626" s="12" t="str">
        <f t="shared" si="773"/>
        <v/>
      </c>
      <c r="AU626" s="12" t="str">
        <f t="shared" si="774"/>
        <v/>
      </c>
      <c r="AV626" s="17"/>
    </row>
    <row r="627" spans="1:48" x14ac:dyDescent="0.25">
      <c r="A627" s="43" t="s">
        <v>374</v>
      </c>
      <c r="B627" s="52" t="s">
        <v>843</v>
      </c>
      <c r="C627" s="44"/>
      <c r="D627" s="43"/>
      <c r="E627" s="52" t="s">
        <v>844</v>
      </c>
      <c r="F627" s="46"/>
      <c r="G627" s="76" t="s">
        <v>992</v>
      </c>
      <c r="H627" s="48" t="s">
        <v>1104</v>
      </c>
      <c r="I627" s="48"/>
      <c r="J627" s="84" t="s">
        <v>1125</v>
      </c>
      <c r="K627" s="85"/>
      <c r="L627" s="47" t="s">
        <v>622</v>
      </c>
      <c r="M627" s="3">
        <v>6.7450000000000001</v>
      </c>
      <c r="N627" s="3">
        <f t="shared" si="763"/>
        <v>2.9000000000000004</v>
      </c>
      <c r="O627" s="22">
        <v>0.155</v>
      </c>
      <c r="P627" s="23">
        <v>1</v>
      </c>
      <c r="Q627" s="3"/>
      <c r="R627" s="3"/>
      <c r="S627" s="3"/>
      <c r="T627" s="3"/>
      <c r="U627" s="3"/>
      <c r="V627" s="23"/>
      <c r="W627" s="3"/>
      <c r="X627" s="3"/>
      <c r="Y627" s="17"/>
      <c r="Z627" s="17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12">
        <f t="shared" si="764"/>
        <v>19.560500000000001</v>
      </c>
      <c r="AL627" s="12">
        <f t="shared" si="765"/>
        <v>19.560500000000001</v>
      </c>
      <c r="AM627" s="12">
        <f t="shared" si="766"/>
        <v>3.0318775000000002</v>
      </c>
      <c r="AN627" s="12">
        <f t="shared" si="767"/>
        <v>3.0318775000000002</v>
      </c>
      <c r="AO627" s="12" t="str">
        <f t="shared" si="768"/>
        <v/>
      </c>
      <c r="AP627" s="12">
        <f t="shared" si="769"/>
        <v>6.7450000000000001</v>
      </c>
      <c r="AQ627" s="12" t="str">
        <f t="shared" si="770"/>
        <v/>
      </c>
      <c r="AR627" s="12" t="str">
        <f t="shared" si="771"/>
        <v/>
      </c>
      <c r="AS627" s="12" t="str">
        <f t="shared" si="772"/>
        <v/>
      </c>
      <c r="AT627" s="12" t="str">
        <f t="shared" si="773"/>
        <v/>
      </c>
      <c r="AU627" s="12" t="str">
        <f t="shared" si="774"/>
        <v/>
      </c>
      <c r="AV627" s="17"/>
    </row>
    <row r="628" spans="1:48" x14ac:dyDescent="0.25">
      <c r="A628" s="43" t="s">
        <v>374</v>
      </c>
      <c r="B628" s="52" t="s">
        <v>844</v>
      </c>
      <c r="C628" s="44"/>
      <c r="D628" s="43"/>
      <c r="E628" s="52" t="s">
        <v>845</v>
      </c>
      <c r="F628" s="46"/>
      <c r="G628" s="76" t="s">
        <v>993</v>
      </c>
      <c r="H628" s="48" t="s">
        <v>1104</v>
      </c>
      <c r="I628" s="48"/>
      <c r="J628" s="84" t="s">
        <v>1125</v>
      </c>
      <c r="K628" s="85"/>
      <c r="L628" s="47" t="s">
        <v>622</v>
      </c>
      <c r="M628" s="3">
        <v>2.14</v>
      </c>
      <c r="N628" s="3">
        <f t="shared" si="763"/>
        <v>2.9000000000000004</v>
      </c>
      <c r="O628" s="22">
        <v>0.155</v>
      </c>
      <c r="P628" s="23">
        <v>1</v>
      </c>
      <c r="Q628" s="3"/>
      <c r="R628" s="3"/>
      <c r="S628" s="3"/>
      <c r="T628" s="3"/>
      <c r="U628" s="3"/>
      <c r="V628" s="23"/>
      <c r="W628" s="3"/>
      <c r="X628" s="3"/>
      <c r="Y628" s="17"/>
      <c r="Z628" s="17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12">
        <f t="shared" si="764"/>
        <v>6.2060000000000013</v>
      </c>
      <c r="AL628" s="12">
        <f t="shared" si="765"/>
        <v>6.2060000000000013</v>
      </c>
      <c r="AM628" s="12">
        <f t="shared" si="766"/>
        <v>0.96193000000000017</v>
      </c>
      <c r="AN628" s="12">
        <f t="shared" si="767"/>
        <v>0.96193000000000017</v>
      </c>
      <c r="AO628" s="12" t="str">
        <f t="shared" si="768"/>
        <v/>
      </c>
      <c r="AP628" s="12">
        <f t="shared" si="769"/>
        <v>2.14</v>
      </c>
      <c r="AQ628" s="12" t="str">
        <f t="shared" si="770"/>
        <v/>
      </c>
      <c r="AR628" s="12" t="str">
        <f t="shared" si="771"/>
        <v/>
      </c>
      <c r="AS628" s="12" t="str">
        <f t="shared" si="772"/>
        <v/>
      </c>
      <c r="AT628" s="12" t="str">
        <f t="shared" si="773"/>
        <v/>
      </c>
      <c r="AU628" s="12" t="str">
        <f t="shared" si="774"/>
        <v/>
      </c>
      <c r="AV628" s="17"/>
    </row>
    <row r="629" spans="1:48" x14ac:dyDescent="0.25">
      <c r="A629" s="43" t="s">
        <v>374</v>
      </c>
      <c r="B629" s="52" t="s">
        <v>846</v>
      </c>
      <c r="C629" s="44"/>
      <c r="D629" s="43"/>
      <c r="E629" s="52" t="s">
        <v>847</v>
      </c>
      <c r="F629" s="46"/>
      <c r="G629" s="76" t="s">
        <v>994</v>
      </c>
      <c r="H629" s="48" t="s">
        <v>1104</v>
      </c>
      <c r="I629" s="48"/>
      <c r="J629" s="84" t="s">
        <v>1125</v>
      </c>
      <c r="K629" s="85"/>
      <c r="L629" s="47" t="s">
        <v>622</v>
      </c>
      <c r="M629" s="3">
        <f>1.145+1.45+2.45+1.7</f>
        <v>6.7450000000000001</v>
      </c>
      <c r="N629" s="3">
        <f t="shared" si="763"/>
        <v>2.9000000000000004</v>
      </c>
      <c r="O629" s="22">
        <v>0.155</v>
      </c>
      <c r="P629" s="23">
        <v>1</v>
      </c>
      <c r="Q629" s="3"/>
      <c r="R629" s="3"/>
      <c r="S629" s="3"/>
      <c r="T629" s="3"/>
      <c r="U629" s="3"/>
      <c r="V629" s="23"/>
      <c r="W629" s="3"/>
      <c r="X629" s="3"/>
      <c r="Y629" s="17"/>
      <c r="Z629" s="17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12">
        <f t="shared" si="764"/>
        <v>19.560500000000001</v>
      </c>
      <c r="AL629" s="12">
        <f t="shared" si="765"/>
        <v>19.560500000000001</v>
      </c>
      <c r="AM629" s="12">
        <f t="shared" si="766"/>
        <v>3.0318775000000002</v>
      </c>
      <c r="AN629" s="12">
        <f t="shared" si="767"/>
        <v>3.0318775000000002</v>
      </c>
      <c r="AO629" s="12" t="str">
        <f t="shared" si="768"/>
        <v/>
      </c>
      <c r="AP629" s="12">
        <f t="shared" si="769"/>
        <v>6.7450000000000001</v>
      </c>
      <c r="AQ629" s="12" t="str">
        <f t="shared" si="770"/>
        <v/>
      </c>
      <c r="AR629" s="12" t="str">
        <f t="shared" si="771"/>
        <v/>
      </c>
      <c r="AS629" s="12" t="str">
        <f t="shared" si="772"/>
        <v/>
      </c>
      <c r="AT629" s="12" t="str">
        <f t="shared" si="773"/>
        <v/>
      </c>
      <c r="AU629" s="12" t="str">
        <f t="shared" si="774"/>
        <v/>
      </c>
      <c r="AV629" s="17"/>
    </row>
    <row r="630" spans="1:48" x14ac:dyDescent="0.25">
      <c r="A630" s="43" t="s">
        <v>374</v>
      </c>
      <c r="B630" s="52" t="s">
        <v>847</v>
      </c>
      <c r="C630" s="44"/>
      <c r="D630" s="43"/>
      <c r="E630" s="52" t="s">
        <v>848</v>
      </c>
      <c r="F630" s="46"/>
      <c r="G630" s="76" t="s">
        <v>995</v>
      </c>
      <c r="H630" s="48" t="s">
        <v>1104</v>
      </c>
      <c r="I630" s="48"/>
      <c r="J630" s="84" t="s">
        <v>1125</v>
      </c>
      <c r="K630" s="85"/>
      <c r="L630" s="47" t="s">
        <v>622</v>
      </c>
      <c r="M630" s="3">
        <v>4.9950000000000001</v>
      </c>
      <c r="N630" s="3">
        <f t="shared" si="763"/>
        <v>2.9000000000000004</v>
      </c>
      <c r="O630" s="22">
        <v>0.155</v>
      </c>
      <c r="P630" s="23">
        <v>1</v>
      </c>
      <c r="Q630" s="3"/>
      <c r="R630" s="3"/>
      <c r="S630" s="3"/>
      <c r="T630" s="3"/>
      <c r="U630" s="3"/>
      <c r="V630" s="23"/>
      <c r="W630" s="3"/>
      <c r="X630" s="3"/>
      <c r="Y630" s="17"/>
      <c r="Z630" s="17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12">
        <f t="shared" si="764"/>
        <v>14.485500000000002</v>
      </c>
      <c r="AL630" s="12">
        <f t="shared" si="765"/>
        <v>14.485500000000002</v>
      </c>
      <c r="AM630" s="12">
        <f t="shared" si="766"/>
        <v>2.2452525000000003</v>
      </c>
      <c r="AN630" s="12">
        <f t="shared" si="767"/>
        <v>2.2452525000000003</v>
      </c>
      <c r="AO630" s="12" t="str">
        <f t="shared" si="768"/>
        <v/>
      </c>
      <c r="AP630" s="12">
        <f t="shared" si="769"/>
        <v>4.9950000000000001</v>
      </c>
      <c r="AQ630" s="12" t="str">
        <f t="shared" si="770"/>
        <v/>
      </c>
      <c r="AR630" s="12" t="str">
        <f t="shared" si="771"/>
        <v/>
      </c>
      <c r="AS630" s="12" t="str">
        <f t="shared" si="772"/>
        <v/>
      </c>
      <c r="AT630" s="12" t="str">
        <f t="shared" si="773"/>
        <v/>
      </c>
      <c r="AU630" s="12" t="str">
        <f t="shared" si="774"/>
        <v/>
      </c>
      <c r="AV630" s="17"/>
    </row>
    <row r="631" spans="1:48" x14ac:dyDescent="0.25">
      <c r="A631" s="43" t="s">
        <v>374</v>
      </c>
      <c r="B631" s="52" t="s">
        <v>848</v>
      </c>
      <c r="C631" s="44"/>
      <c r="D631" s="43"/>
      <c r="E631" s="52" t="s">
        <v>692</v>
      </c>
      <c r="F631" s="46"/>
      <c r="G631" s="76" t="s">
        <v>996</v>
      </c>
      <c r="H631" s="48" t="s">
        <v>1104</v>
      </c>
      <c r="I631" s="48"/>
      <c r="J631" s="84" t="s">
        <v>1125</v>
      </c>
      <c r="K631" s="85"/>
      <c r="L631" s="47" t="s">
        <v>622</v>
      </c>
      <c r="M631" s="3">
        <f>1.145+1.45+2.45+1.7</f>
        <v>6.7450000000000001</v>
      </c>
      <c r="N631" s="3">
        <f t="shared" si="763"/>
        <v>2.9000000000000004</v>
      </c>
      <c r="O631" s="22">
        <v>0.155</v>
      </c>
      <c r="P631" s="23">
        <v>1</v>
      </c>
      <c r="Q631" s="3"/>
      <c r="R631" s="3"/>
      <c r="S631" s="3"/>
      <c r="T631" s="3"/>
      <c r="U631" s="3"/>
      <c r="V631" s="23"/>
      <c r="W631" s="3"/>
      <c r="X631" s="3"/>
      <c r="Y631" s="17"/>
      <c r="Z631" s="17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12">
        <f t="shared" si="764"/>
        <v>19.560500000000001</v>
      </c>
      <c r="AL631" s="12">
        <f t="shared" si="765"/>
        <v>19.560500000000001</v>
      </c>
      <c r="AM631" s="12">
        <f t="shared" si="766"/>
        <v>3.0318775000000002</v>
      </c>
      <c r="AN631" s="12">
        <f t="shared" si="767"/>
        <v>3.0318775000000002</v>
      </c>
      <c r="AO631" s="12" t="str">
        <f t="shared" si="768"/>
        <v/>
      </c>
      <c r="AP631" s="12">
        <f t="shared" si="769"/>
        <v>6.7450000000000001</v>
      </c>
      <c r="AQ631" s="12" t="str">
        <f t="shared" si="770"/>
        <v/>
      </c>
      <c r="AR631" s="12" t="str">
        <f t="shared" si="771"/>
        <v/>
      </c>
      <c r="AS631" s="12" t="str">
        <f t="shared" si="772"/>
        <v/>
      </c>
      <c r="AT631" s="12" t="str">
        <f t="shared" si="773"/>
        <v/>
      </c>
      <c r="AU631" s="12" t="str">
        <f t="shared" si="774"/>
        <v/>
      </c>
      <c r="AV631" s="17"/>
    </row>
    <row r="632" spans="1:48" x14ac:dyDescent="0.25">
      <c r="A632" s="43" t="s">
        <v>374</v>
      </c>
      <c r="B632" s="52" t="s">
        <v>849</v>
      </c>
      <c r="C632" s="44"/>
      <c r="D632" s="43"/>
      <c r="E632" s="52" t="s">
        <v>850</v>
      </c>
      <c r="F632" s="46"/>
      <c r="G632" s="76" t="s">
        <v>997</v>
      </c>
      <c r="H632" s="48" t="s">
        <v>1104</v>
      </c>
      <c r="I632" s="48"/>
      <c r="J632" s="84" t="s">
        <v>1125</v>
      </c>
      <c r="K632" s="85"/>
      <c r="L632" s="47" t="s">
        <v>622</v>
      </c>
      <c r="M632" s="3">
        <v>4.2850000000000001</v>
      </c>
      <c r="N632" s="3">
        <f t="shared" si="763"/>
        <v>2.9000000000000004</v>
      </c>
      <c r="O632" s="22">
        <v>0.155</v>
      </c>
      <c r="P632" s="23">
        <v>1</v>
      </c>
      <c r="Q632" s="3"/>
      <c r="R632" s="3"/>
      <c r="S632" s="3"/>
      <c r="T632" s="3"/>
      <c r="U632" s="3"/>
      <c r="V632" s="23"/>
      <c r="W632" s="3"/>
      <c r="X632" s="3"/>
      <c r="Y632" s="17"/>
      <c r="Z632" s="17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12">
        <f t="shared" si="764"/>
        <v>12.426500000000003</v>
      </c>
      <c r="AL632" s="12">
        <f t="shared" si="765"/>
        <v>12.426500000000003</v>
      </c>
      <c r="AM632" s="12">
        <f t="shared" si="766"/>
        <v>1.9261075000000003</v>
      </c>
      <c r="AN632" s="12">
        <f t="shared" si="767"/>
        <v>1.9261075000000003</v>
      </c>
      <c r="AO632" s="12" t="str">
        <f t="shared" si="768"/>
        <v/>
      </c>
      <c r="AP632" s="12">
        <f t="shared" si="769"/>
        <v>4.2850000000000001</v>
      </c>
      <c r="AQ632" s="12" t="str">
        <f t="shared" si="770"/>
        <v/>
      </c>
      <c r="AR632" s="12" t="str">
        <f t="shared" si="771"/>
        <v/>
      </c>
      <c r="AS632" s="12" t="str">
        <f t="shared" si="772"/>
        <v/>
      </c>
      <c r="AT632" s="12" t="str">
        <f t="shared" si="773"/>
        <v/>
      </c>
      <c r="AU632" s="12" t="str">
        <f t="shared" si="774"/>
        <v/>
      </c>
      <c r="AV632" s="17"/>
    </row>
    <row r="633" spans="1:48" x14ac:dyDescent="0.25">
      <c r="A633" s="43" t="s">
        <v>374</v>
      </c>
      <c r="B633" s="52" t="s">
        <v>850</v>
      </c>
      <c r="C633" s="44"/>
      <c r="D633" s="43"/>
      <c r="E633" s="52" t="s">
        <v>851</v>
      </c>
      <c r="F633" s="46"/>
      <c r="G633" s="76" t="s">
        <v>998</v>
      </c>
      <c r="H633" s="48" t="s">
        <v>1104</v>
      </c>
      <c r="I633" s="48"/>
      <c r="J633" s="84" t="s">
        <v>1125</v>
      </c>
      <c r="K633" s="85"/>
      <c r="L633" s="47" t="s">
        <v>622</v>
      </c>
      <c r="M633" s="3">
        <f>4.285+0.835+1.625</f>
        <v>6.7450000000000001</v>
      </c>
      <c r="N633" s="3">
        <f t="shared" si="763"/>
        <v>2.9000000000000004</v>
      </c>
      <c r="O633" s="22">
        <v>0.155</v>
      </c>
      <c r="P633" s="23">
        <v>1</v>
      </c>
      <c r="Q633" s="3"/>
      <c r="R633" s="3"/>
      <c r="S633" s="3"/>
      <c r="T633" s="3"/>
      <c r="U633" s="3"/>
      <c r="V633" s="23"/>
      <c r="W633" s="3"/>
      <c r="X633" s="3"/>
      <c r="Y633" s="17"/>
      <c r="Z633" s="17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12">
        <f t="shared" si="764"/>
        <v>19.560500000000001</v>
      </c>
      <c r="AL633" s="12">
        <f t="shared" si="765"/>
        <v>19.560500000000001</v>
      </c>
      <c r="AM633" s="12">
        <f t="shared" si="766"/>
        <v>3.0318775000000002</v>
      </c>
      <c r="AN633" s="12">
        <f t="shared" si="767"/>
        <v>3.0318775000000002</v>
      </c>
      <c r="AO633" s="12" t="str">
        <f t="shared" si="768"/>
        <v/>
      </c>
      <c r="AP633" s="12">
        <f t="shared" si="769"/>
        <v>6.7450000000000001</v>
      </c>
      <c r="AQ633" s="12" t="str">
        <f t="shared" si="770"/>
        <v/>
      </c>
      <c r="AR633" s="12" t="str">
        <f t="shared" si="771"/>
        <v/>
      </c>
      <c r="AS633" s="12" t="str">
        <f t="shared" si="772"/>
        <v/>
      </c>
      <c r="AT633" s="12" t="str">
        <f t="shared" si="773"/>
        <v/>
      </c>
      <c r="AU633" s="12" t="str">
        <f t="shared" si="774"/>
        <v/>
      </c>
      <c r="AV633" s="17"/>
    </row>
    <row r="634" spans="1:48" x14ac:dyDescent="0.25">
      <c r="A634" s="43" t="s">
        <v>374</v>
      </c>
      <c r="B634" s="52" t="s">
        <v>851</v>
      </c>
      <c r="C634" s="44"/>
      <c r="D634" s="43"/>
      <c r="E634" s="52" t="s">
        <v>852</v>
      </c>
      <c r="F634" s="46"/>
      <c r="G634" s="76" t="s">
        <v>999</v>
      </c>
      <c r="H634" s="48" t="s">
        <v>1104</v>
      </c>
      <c r="I634" s="48"/>
      <c r="J634" s="84" t="s">
        <v>1125</v>
      </c>
      <c r="K634" s="85"/>
      <c r="L634" s="47" t="s">
        <v>622</v>
      </c>
      <c r="M634" s="3">
        <v>4.9850000000000003</v>
      </c>
      <c r="N634" s="3">
        <f t="shared" si="763"/>
        <v>2.9000000000000004</v>
      </c>
      <c r="O634" s="22">
        <v>0.155</v>
      </c>
      <c r="P634" s="23">
        <v>1</v>
      </c>
      <c r="Q634" s="3"/>
      <c r="R634" s="3"/>
      <c r="S634" s="3"/>
      <c r="T634" s="3"/>
      <c r="U634" s="3"/>
      <c r="V634" s="23"/>
      <c r="W634" s="3"/>
      <c r="X634" s="3"/>
      <c r="Y634" s="17"/>
      <c r="Z634" s="17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12">
        <f t="shared" si="764"/>
        <v>14.456500000000002</v>
      </c>
      <c r="AL634" s="12">
        <f t="shared" si="765"/>
        <v>14.456500000000002</v>
      </c>
      <c r="AM634" s="12">
        <f t="shared" si="766"/>
        <v>2.2407575000000004</v>
      </c>
      <c r="AN634" s="12">
        <f t="shared" si="767"/>
        <v>2.2407575000000004</v>
      </c>
      <c r="AO634" s="12" t="str">
        <f t="shared" si="768"/>
        <v/>
      </c>
      <c r="AP634" s="12">
        <f t="shared" si="769"/>
        <v>4.9850000000000003</v>
      </c>
      <c r="AQ634" s="12" t="str">
        <f t="shared" si="770"/>
        <v/>
      </c>
      <c r="AR634" s="12" t="str">
        <f t="shared" si="771"/>
        <v/>
      </c>
      <c r="AS634" s="12" t="str">
        <f t="shared" si="772"/>
        <v/>
      </c>
      <c r="AT634" s="12" t="str">
        <f t="shared" si="773"/>
        <v/>
      </c>
      <c r="AU634" s="12" t="str">
        <f t="shared" si="774"/>
        <v/>
      </c>
      <c r="AV634" s="17"/>
    </row>
    <row r="635" spans="1:48" x14ac:dyDescent="0.25">
      <c r="A635" s="43" t="s">
        <v>374</v>
      </c>
      <c r="B635" s="52" t="s">
        <v>852</v>
      </c>
      <c r="C635" s="44"/>
      <c r="D635" s="43"/>
      <c r="E635" s="52" t="s">
        <v>853</v>
      </c>
      <c r="F635" s="46"/>
      <c r="G635" s="76" t="s">
        <v>1000</v>
      </c>
      <c r="H635" s="48" t="s">
        <v>1104</v>
      </c>
      <c r="I635" s="48"/>
      <c r="J635" s="84" t="s">
        <v>1125</v>
      </c>
      <c r="K635" s="85"/>
      <c r="L635" s="47" t="s">
        <v>622</v>
      </c>
      <c r="M635" s="3">
        <f>4.985+0.985+0.775</f>
        <v>6.745000000000001</v>
      </c>
      <c r="N635" s="3">
        <f t="shared" si="763"/>
        <v>2.9000000000000004</v>
      </c>
      <c r="O635" s="22">
        <v>0.155</v>
      </c>
      <c r="P635" s="23">
        <v>1</v>
      </c>
      <c r="Q635" s="3"/>
      <c r="R635" s="3"/>
      <c r="S635" s="3"/>
      <c r="T635" s="3"/>
      <c r="U635" s="3"/>
      <c r="V635" s="23"/>
      <c r="W635" s="3"/>
      <c r="X635" s="3"/>
      <c r="Y635" s="17"/>
      <c r="Z635" s="17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12">
        <f t="shared" si="764"/>
        <v>19.560500000000005</v>
      </c>
      <c r="AL635" s="12">
        <f t="shared" si="765"/>
        <v>19.560500000000005</v>
      </c>
      <c r="AM635" s="12">
        <f t="shared" si="766"/>
        <v>3.0318775000000007</v>
      </c>
      <c r="AN635" s="12">
        <f t="shared" si="767"/>
        <v>3.0318775000000007</v>
      </c>
      <c r="AO635" s="12" t="str">
        <f t="shared" si="768"/>
        <v/>
      </c>
      <c r="AP635" s="12">
        <f t="shared" si="769"/>
        <v>6.745000000000001</v>
      </c>
      <c r="AQ635" s="12" t="str">
        <f t="shared" si="770"/>
        <v/>
      </c>
      <c r="AR635" s="12" t="str">
        <f t="shared" si="771"/>
        <v/>
      </c>
      <c r="AS635" s="12" t="str">
        <f t="shared" si="772"/>
        <v/>
      </c>
      <c r="AT635" s="12" t="str">
        <f t="shared" si="773"/>
        <v/>
      </c>
      <c r="AU635" s="12" t="str">
        <f t="shared" si="774"/>
        <v/>
      </c>
      <c r="AV635" s="17"/>
    </row>
    <row r="636" spans="1:48" x14ac:dyDescent="0.25">
      <c r="A636" s="43" t="s">
        <v>374</v>
      </c>
      <c r="B636" s="52" t="s">
        <v>853</v>
      </c>
      <c r="C636" s="44"/>
      <c r="D636" s="43"/>
      <c r="E636" s="52" t="s">
        <v>855</v>
      </c>
      <c r="F636" s="46"/>
      <c r="G636" s="76" t="s">
        <v>1001</v>
      </c>
      <c r="H636" s="48" t="s">
        <v>1104</v>
      </c>
      <c r="I636" s="48"/>
      <c r="J636" s="84" t="s">
        <v>1125</v>
      </c>
      <c r="K636" s="85"/>
      <c r="L636" s="47" t="s">
        <v>622</v>
      </c>
      <c r="M636" s="3">
        <v>4.9850000000000003</v>
      </c>
      <c r="N636" s="3">
        <f t="shared" si="763"/>
        <v>2.9000000000000004</v>
      </c>
      <c r="O636" s="22">
        <v>0.155</v>
      </c>
      <c r="P636" s="23">
        <v>1</v>
      </c>
      <c r="Q636" s="3"/>
      <c r="R636" s="3"/>
      <c r="S636" s="3"/>
      <c r="T636" s="3"/>
      <c r="U636" s="3"/>
      <c r="V636" s="23"/>
      <c r="W636" s="3"/>
      <c r="X636" s="3"/>
      <c r="Y636" s="17"/>
      <c r="Z636" s="17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12">
        <f t="shared" si="764"/>
        <v>14.456500000000002</v>
      </c>
      <c r="AL636" s="12">
        <f t="shared" si="765"/>
        <v>14.456500000000002</v>
      </c>
      <c r="AM636" s="12">
        <f t="shared" si="766"/>
        <v>2.2407575000000004</v>
      </c>
      <c r="AN636" s="12">
        <f t="shared" si="767"/>
        <v>2.2407575000000004</v>
      </c>
      <c r="AO636" s="12" t="str">
        <f t="shared" si="768"/>
        <v/>
      </c>
      <c r="AP636" s="12">
        <f t="shared" si="769"/>
        <v>4.9850000000000003</v>
      </c>
      <c r="AQ636" s="12" t="str">
        <f t="shared" si="770"/>
        <v/>
      </c>
      <c r="AR636" s="12" t="str">
        <f t="shared" si="771"/>
        <v/>
      </c>
      <c r="AS636" s="12" t="str">
        <f t="shared" si="772"/>
        <v/>
      </c>
      <c r="AT636" s="12" t="str">
        <f t="shared" si="773"/>
        <v/>
      </c>
      <c r="AU636" s="12" t="str">
        <f t="shared" si="774"/>
        <v/>
      </c>
      <c r="AV636" s="17"/>
    </row>
    <row r="637" spans="1:48" x14ac:dyDescent="0.25">
      <c r="A637" s="43" t="s">
        <v>374</v>
      </c>
      <c r="B637" s="52" t="s">
        <v>855</v>
      </c>
      <c r="C637" s="44"/>
      <c r="D637" s="43"/>
      <c r="E637" s="52" t="s">
        <v>856</v>
      </c>
      <c r="F637" s="46"/>
      <c r="G637" s="76" t="s">
        <v>1002</v>
      </c>
      <c r="H637" s="48" t="s">
        <v>1104</v>
      </c>
      <c r="I637" s="48"/>
      <c r="J637" s="84" t="s">
        <v>1125</v>
      </c>
      <c r="K637" s="85"/>
      <c r="L637" s="47" t="s">
        <v>622</v>
      </c>
      <c r="M637" s="3">
        <v>4.9850000000000003</v>
      </c>
      <c r="N637" s="3">
        <f t="shared" si="763"/>
        <v>2.9000000000000004</v>
      </c>
      <c r="O637" s="22">
        <v>0.155</v>
      </c>
      <c r="P637" s="23">
        <v>1</v>
      </c>
      <c r="Q637" s="3"/>
      <c r="R637" s="3"/>
      <c r="S637" s="3"/>
      <c r="T637" s="3"/>
      <c r="U637" s="3"/>
      <c r="V637" s="23"/>
      <c r="W637" s="3"/>
      <c r="X637" s="3"/>
      <c r="Y637" s="17"/>
      <c r="Z637" s="17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12">
        <f t="shared" si="764"/>
        <v>14.456500000000002</v>
      </c>
      <c r="AL637" s="12">
        <f t="shared" si="765"/>
        <v>14.456500000000002</v>
      </c>
      <c r="AM637" s="12">
        <f t="shared" si="766"/>
        <v>2.2407575000000004</v>
      </c>
      <c r="AN637" s="12">
        <f t="shared" si="767"/>
        <v>2.2407575000000004</v>
      </c>
      <c r="AO637" s="12" t="str">
        <f t="shared" si="768"/>
        <v/>
      </c>
      <c r="AP637" s="12">
        <f t="shared" si="769"/>
        <v>4.9850000000000003</v>
      </c>
      <c r="AQ637" s="12" t="str">
        <f t="shared" si="770"/>
        <v/>
      </c>
      <c r="AR637" s="12" t="str">
        <f t="shared" si="771"/>
        <v/>
      </c>
      <c r="AS637" s="12" t="str">
        <f t="shared" si="772"/>
        <v/>
      </c>
      <c r="AT637" s="12" t="str">
        <f t="shared" si="773"/>
        <v/>
      </c>
      <c r="AU637" s="12" t="str">
        <f t="shared" si="774"/>
        <v/>
      </c>
      <c r="AV637" s="17"/>
    </row>
    <row r="638" spans="1:48" x14ac:dyDescent="0.25">
      <c r="A638" s="43" t="s">
        <v>374</v>
      </c>
      <c r="B638" s="52" t="s">
        <v>856</v>
      </c>
      <c r="C638" s="44"/>
      <c r="D638" s="43"/>
      <c r="E638" s="52" t="s">
        <v>692</v>
      </c>
      <c r="F638" s="46"/>
      <c r="G638" s="76" t="s">
        <v>1003</v>
      </c>
      <c r="H638" s="48" t="s">
        <v>1104</v>
      </c>
      <c r="I638" s="48"/>
      <c r="J638" s="84" t="s">
        <v>1125</v>
      </c>
      <c r="K638" s="85"/>
      <c r="L638" s="47" t="s">
        <v>622</v>
      </c>
      <c r="M638" s="3">
        <f>4.985+1.76</f>
        <v>6.7450000000000001</v>
      </c>
      <c r="N638" s="3">
        <f t="shared" si="763"/>
        <v>2.9000000000000004</v>
      </c>
      <c r="O638" s="22">
        <v>0.155</v>
      </c>
      <c r="P638" s="23">
        <v>1</v>
      </c>
      <c r="Q638" s="3"/>
      <c r="R638" s="3"/>
      <c r="S638" s="3"/>
      <c r="T638" s="3"/>
      <c r="U638" s="3"/>
      <c r="V638" s="23"/>
      <c r="W638" s="3"/>
      <c r="X638" s="3"/>
      <c r="Y638" s="17"/>
      <c r="Z638" s="17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12">
        <f t="shared" si="764"/>
        <v>19.560500000000001</v>
      </c>
      <c r="AL638" s="12">
        <f t="shared" si="765"/>
        <v>19.560500000000001</v>
      </c>
      <c r="AM638" s="12">
        <f t="shared" si="766"/>
        <v>3.0318775000000002</v>
      </c>
      <c r="AN638" s="12">
        <f t="shared" si="767"/>
        <v>3.0318775000000002</v>
      </c>
      <c r="AO638" s="12" t="str">
        <f t="shared" si="768"/>
        <v/>
      </c>
      <c r="AP638" s="12">
        <f t="shared" si="769"/>
        <v>6.7450000000000001</v>
      </c>
      <c r="AQ638" s="12" t="str">
        <f t="shared" si="770"/>
        <v/>
      </c>
      <c r="AR638" s="12" t="str">
        <f t="shared" si="771"/>
        <v/>
      </c>
      <c r="AS638" s="12" t="str">
        <f t="shared" si="772"/>
        <v/>
      </c>
      <c r="AT638" s="12" t="str">
        <f t="shared" si="773"/>
        <v/>
      </c>
      <c r="AU638" s="12" t="str">
        <f t="shared" si="774"/>
        <v/>
      </c>
      <c r="AV638" s="17"/>
    </row>
    <row r="639" spans="1:48" x14ac:dyDescent="0.25">
      <c r="A639" s="43" t="s">
        <v>374</v>
      </c>
      <c r="B639" s="52" t="s">
        <v>632</v>
      </c>
      <c r="C639" s="44"/>
      <c r="D639" s="43"/>
      <c r="E639" s="52" t="s">
        <v>638</v>
      </c>
      <c r="F639" s="46"/>
      <c r="G639" s="76" t="s">
        <v>1004</v>
      </c>
      <c r="H639" s="48" t="s">
        <v>1104</v>
      </c>
      <c r="I639" s="48"/>
      <c r="J639" s="84" t="s">
        <v>1125</v>
      </c>
      <c r="K639" s="85"/>
      <c r="L639" s="47" t="s">
        <v>622</v>
      </c>
      <c r="M639" s="3">
        <v>3.99</v>
      </c>
      <c r="N639" s="3">
        <f t="shared" si="763"/>
        <v>2.9000000000000004</v>
      </c>
      <c r="O639" s="22">
        <v>0.155</v>
      </c>
      <c r="P639" s="23">
        <v>1</v>
      </c>
      <c r="Q639" s="3"/>
      <c r="R639" s="3"/>
      <c r="S639" s="3"/>
      <c r="T639" s="3"/>
      <c r="U639" s="3"/>
      <c r="V639" s="23"/>
      <c r="W639" s="3"/>
      <c r="X639" s="3"/>
      <c r="Y639" s="17"/>
      <c r="Z639" s="17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12">
        <f t="shared" si="764"/>
        <v>11.571000000000002</v>
      </c>
      <c r="AL639" s="12">
        <f t="shared" si="765"/>
        <v>11.571000000000002</v>
      </c>
      <c r="AM639" s="12">
        <f t="shared" si="766"/>
        <v>1.7935050000000001</v>
      </c>
      <c r="AN639" s="12">
        <f t="shared" si="767"/>
        <v>1.7935050000000001</v>
      </c>
      <c r="AO639" s="12" t="str">
        <f t="shared" si="768"/>
        <v/>
      </c>
      <c r="AP639" s="12">
        <f t="shared" si="769"/>
        <v>3.99</v>
      </c>
      <c r="AQ639" s="12" t="str">
        <f t="shared" si="770"/>
        <v/>
      </c>
      <c r="AR639" s="12" t="str">
        <f t="shared" si="771"/>
        <v/>
      </c>
      <c r="AS639" s="12" t="str">
        <f t="shared" si="772"/>
        <v/>
      </c>
      <c r="AT639" s="12" t="str">
        <f t="shared" si="773"/>
        <v/>
      </c>
      <c r="AU639" s="12" t="str">
        <f t="shared" si="774"/>
        <v/>
      </c>
      <c r="AV639" s="17"/>
    </row>
    <row r="640" spans="1:48" x14ac:dyDescent="0.25">
      <c r="A640" s="43" t="s">
        <v>374</v>
      </c>
      <c r="B640" s="52" t="s">
        <v>821</v>
      </c>
      <c r="C640" s="44"/>
      <c r="D640" s="43"/>
      <c r="E640" s="52" t="s">
        <v>692</v>
      </c>
      <c r="F640" s="46"/>
      <c r="G640" s="76" t="s">
        <v>1005</v>
      </c>
      <c r="H640" s="48" t="s">
        <v>1104</v>
      </c>
      <c r="I640" s="48"/>
      <c r="J640" s="84" t="s">
        <v>1125</v>
      </c>
      <c r="K640" s="85"/>
      <c r="L640" s="47" t="s">
        <v>622</v>
      </c>
      <c r="M640" s="3">
        <f>2.12-0.26</f>
        <v>1.86</v>
      </c>
      <c r="N640" s="3">
        <f t="shared" si="763"/>
        <v>2.9000000000000004</v>
      </c>
      <c r="O640" s="22">
        <v>0.155</v>
      </c>
      <c r="P640" s="23">
        <v>1</v>
      </c>
      <c r="Q640" s="3"/>
      <c r="R640" s="3">
        <f>1.2*2.17</f>
        <v>2.6039999999999996</v>
      </c>
      <c r="S640" s="3"/>
      <c r="T640" s="3"/>
      <c r="U640" s="3"/>
      <c r="V640" s="23"/>
      <c r="W640" s="3"/>
      <c r="X640" s="3"/>
      <c r="Y640" s="17"/>
      <c r="Z640" s="17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12">
        <f t="shared" si="764"/>
        <v>2.7900000000000014</v>
      </c>
      <c r="AL640" s="12">
        <f t="shared" si="765"/>
        <v>2.7900000000000014</v>
      </c>
      <c r="AM640" s="12">
        <f t="shared" si="766"/>
        <v>0.43245000000000022</v>
      </c>
      <c r="AN640" s="12">
        <f t="shared" si="767"/>
        <v>0.43245000000000022</v>
      </c>
      <c r="AO640" s="12" t="str">
        <f t="shared" si="768"/>
        <v/>
      </c>
      <c r="AP640" s="12">
        <f t="shared" si="769"/>
        <v>1.86</v>
      </c>
      <c r="AQ640" s="12" t="str">
        <f t="shared" si="770"/>
        <v/>
      </c>
      <c r="AR640" s="12" t="str">
        <f t="shared" si="771"/>
        <v/>
      </c>
      <c r="AS640" s="12" t="str">
        <f t="shared" si="772"/>
        <v/>
      </c>
      <c r="AT640" s="12" t="str">
        <f t="shared" si="773"/>
        <v/>
      </c>
      <c r="AU640" s="12" t="str">
        <f t="shared" si="774"/>
        <v/>
      </c>
      <c r="AV640" s="17"/>
    </row>
    <row r="641" spans="1:48" x14ac:dyDescent="0.25">
      <c r="A641" s="43" t="s">
        <v>374</v>
      </c>
      <c r="B641" s="52" t="s">
        <v>857</v>
      </c>
      <c r="C641" s="44"/>
      <c r="D641" s="43"/>
      <c r="E641" s="52" t="s">
        <v>692</v>
      </c>
      <c r="F641" s="46"/>
      <c r="G641" s="76" t="s">
        <v>1006</v>
      </c>
      <c r="H641" s="48" t="s">
        <v>1104</v>
      </c>
      <c r="I641" s="48"/>
      <c r="J641" s="84" t="s">
        <v>1125</v>
      </c>
      <c r="K641" s="85"/>
      <c r="L641" s="47" t="s">
        <v>622</v>
      </c>
      <c r="M641" s="3">
        <f>3.91</f>
        <v>3.91</v>
      </c>
      <c r="N641" s="3">
        <f t="shared" si="763"/>
        <v>2.9000000000000004</v>
      </c>
      <c r="O641" s="22">
        <v>0.155</v>
      </c>
      <c r="P641" s="23">
        <v>1</v>
      </c>
      <c r="Q641" s="3"/>
      <c r="R641" s="3">
        <f>1.2*2.17*2</f>
        <v>5.2079999999999993</v>
      </c>
      <c r="S641" s="3"/>
      <c r="T641" s="3"/>
      <c r="U641" s="3"/>
      <c r="V641" s="23"/>
      <c r="W641" s="3"/>
      <c r="X641" s="3"/>
      <c r="Y641" s="17"/>
      <c r="Z641" s="17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12">
        <f t="shared" si="764"/>
        <v>6.1310000000000029</v>
      </c>
      <c r="AL641" s="12">
        <f t="shared" si="765"/>
        <v>6.1310000000000029</v>
      </c>
      <c r="AM641" s="12">
        <f t="shared" si="766"/>
        <v>0.9503050000000004</v>
      </c>
      <c r="AN641" s="12">
        <f t="shared" si="767"/>
        <v>0.9503050000000004</v>
      </c>
      <c r="AO641" s="12" t="str">
        <f t="shared" si="768"/>
        <v/>
      </c>
      <c r="AP641" s="12">
        <f t="shared" si="769"/>
        <v>3.91</v>
      </c>
      <c r="AQ641" s="12" t="str">
        <f t="shared" si="770"/>
        <v/>
      </c>
      <c r="AR641" s="12" t="str">
        <f t="shared" si="771"/>
        <v/>
      </c>
      <c r="AS641" s="12" t="str">
        <f t="shared" si="772"/>
        <v/>
      </c>
      <c r="AT641" s="12" t="str">
        <f t="shared" si="773"/>
        <v/>
      </c>
      <c r="AU641" s="12" t="str">
        <f t="shared" si="774"/>
        <v/>
      </c>
      <c r="AV641" s="17"/>
    </row>
    <row r="642" spans="1:48" x14ac:dyDescent="0.25">
      <c r="A642" s="43" t="s">
        <v>374</v>
      </c>
      <c r="B642" s="52" t="s">
        <v>858</v>
      </c>
      <c r="C642" s="44"/>
      <c r="D642" s="43"/>
      <c r="E642" s="52" t="s">
        <v>692</v>
      </c>
      <c r="F642" s="46"/>
      <c r="G642" s="76" t="s">
        <v>1007</v>
      </c>
      <c r="H642" s="48" t="s">
        <v>1093</v>
      </c>
      <c r="I642" s="48"/>
      <c r="J642" s="84" t="s">
        <v>1125</v>
      </c>
      <c r="K642" s="85"/>
      <c r="L642" s="47" t="s">
        <v>622</v>
      </c>
      <c r="M642" s="3">
        <v>2.4</v>
      </c>
      <c r="N642" s="3">
        <f t="shared" si="763"/>
        <v>2.9000000000000004</v>
      </c>
      <c r="O642" s="22">
        <v>0.1</v>
      </c>
      <c r="P642" s="23">
        <v>1</v>
      </c>
      <c r="Q642" s="3"/>
      <c r="R642" s="3">
        <f>1.4*2.7</f>
        <v>3.78</v>
      </c>
      <c r="S642" s="3"/>
      <c r="T642" s="3"/>
      <c r="U642" s="3"/>
      <c r="V642" s="23"/>
      <c r="W642" s="3"/>
      <c r="X642" s="3"/>
      <c r="Y642" s="17"/>
      <c r="Z642" s="17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12">
        <f t="shared" si="764"/>
        <v>3.180000000000001</v>
      </c>
      <c r="AL642" s="12">
        <f t="shared" si="765"/>
        <v>3.180000000000001</v>
      </c>
      <c r="AM642" s="12">
        <f t="shared" si="766"/>
        <v>0.31800000000000012</v>
      </c>
      <c r="AN642" s="12">
        <f t="shared" si="767"/>
        <v>0.31800000000000012</v>
      </c>
      <c r="AO642" s="12" t="str">
        <f t="shared" si="768"/>
        <v/>
      </c>
      <c r="AP642" s="12">
        <f t="shared" si="769"/>
        <v>2.4</v>
      </c>
      <c r="AQ642" s="12" t="str">
        <f t="shared" si="770"/>
        <v/>
      </c>
      <c r="AR642" s="12" t="str">
        <f t="shared" si="771"/>
        <v/>
      </c>
      <c r="AS642" s="12" t="str">
        <f t="shared" si="772"/>
        <v/>
      </c>
      <c r="AT642" s="12" t="str">
        <f t="shared" si="773"/>
        <v/>
      </c>
      <c r="AU642" s="12" t="str">
        <f t="shared" si="774"/>
        <v/>
      </c>
      <c r="AV642" s="17"/>
    </row>
    <row r="643" spans="1:48" x14ac:dyDescent="0.25">
      <c r="A643" s="43" t="s">
        <v>374</v>
      </c>
      <c r="B643" s="52" t="s">
        <v>845</v>
      </c>
      <c r="C643" s="44"/>
      <c r="D643" s="43"/>
      <c r="E643" s="52" t="s">
        <v>692</v>
      </c>
      <c r="F643" s="46"/>
      <c r="G643" s="76" t="s">
        <v>1008</v>
      </c>
      <c r="H643" s="48" t="s">
        <v>1104</v>
      </c>
      <c r="I643" s="48"/>
      <c r="J643" s="84" t="s">
        <v>1125</v>
      </c>
      <c r="K643" s="85"/>
      <c r="L643" s="47" t="s">
        <v>622</v>
      </c>
      <c r="M643" s="3">
        <f>1.7</f>
        <v>1.7</v>
      </c>
      <c r="N643" s="3">
        <f t="shared" si="763"/>
        <v>2.9000000000000004</v>
      </c>
      <c r="O643" s="22">
        <v>0.155</v>
      </c>
      <c r="P643" s="23">
        <v>1</v>
      </c>
      <c r="Q643" s="3"/>
      <c r="R643" s="3">
        <f>1.2*2.17</f>
        <v>2.6039999999999996</v>
      </c>
      <c r="S643" s="3"/>
      <c r="T643" s="3"/>
      <c r="U643" s="3"/>
      <c r="V643" s="23"/>
      <c r="W643" s="3"/>
      <c r="X643" s="3"/>
      <c r="Y643" s="17"/>
      <c r="Z643" s="17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12">
        <f t="shared" si="764"/>
        <v>2.326000000000001</v>
      </c>
      <c r="AL643" s="12">
        <f t="shared" si="765"/>
        <v>2.326000000000001</v>
      </c>
      <c r="AM643" s="12">
        <f t="shared" si="766"/>
        <v>0.36053000000000013</v>
      </c>
      <c r="AN643" s="12">
        <f t="shared" si="767"/>
        <v>0.36053000000000013</v>
      </c>
      <c r="AO643" s="12" t="str">
        <f t="shared" si="768"/>
        <v/>
      </c>
      <c r="AP643" s="12">
        <f t="shared" si="769"/>
        <v>1.7</v>
      </c>
      <c r="AQ643" s="12" t="str">
        <f t="shared" si="770"/>
        <v/>
      </c>
      <c r="AR643" s="12" t="str">
        <f t="shared" si="771"/>
        <v/>
      </c>
      <c r="AS643" s="12" t="str">
        <f t="shared" si="772"/>
        <v/>
      </c>
      <c r="AT643" s="12" t="str">
        <f t="shared" si="773"/>
        <v/>
      </c>
      <c r="AU643" s="12" t="str">
        <f t="shared" si="774"/>
        <v/>
      </c>
      <c r="AV643" s="17"/>
    </row>
    <row r="644" spans="1:48" x14ac:dyDescent="0.25">
      <c r="A644" s="43" t="s">
        <v>374</v>
      </c>
      <c r="B644" s="52" t="s">
        <v>859</v>
      </c>
      <c r="C644" s="44"/>
      <c r="D644" s="43"/>
      <c r="E644" s="52" t="s">
        <v>692</v>
      </c>
      <c r="F644" s="46"/>
      <c r="G644" s="76" t="s">
        <v>1009</v>
      </c>
      <c r="H644" s="48" t="s">
        <v>1104</v>
      </c>
      <c r="I644" s="48"/>
      <c r="J644" s="84" t="s">
        <v>1125</v>
      </c>
      <c r="K644" s="85"/>
      <c r="L644" s="47" t="s">
        <v>622</v>
      </c>
      <c r="M644" s="3">
        <f>1.7+1.44+0.625</f>
        <v>3.7649999999999997</v>
      </c>
      <c r="N644" s="3">
        <f t="shared" si="763"/>
        <v>2.9000000000000004</v>
      </c>
      <c r="O644" s="22">
        <v>0.155</v>
      </c>
      <c r="P644" s="23">
        <v>1</v>
      </c>
      <c r="Q644" s="3"/>
      <c r="R644" s="3">
        <f>1.2*2.17+1.65*2.7</f>
        <v>7.0589999999999993</v>
      </c>
      <c r="S644" s="3"/>
      <c r="T644" s="3"/>
      <c r="U644" s="3"/>
      <c r="V644" s="23"/>
      <c r="W644" s="3"/>
      <c r="X644" s="3"/>
      <c r="Y644" s="17"/>
      <c r="Z644" s="17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12">
        <f t="shared" si="764"/>
        <v>3.8595000000000006</v>
      </c>
      <c r="AL644" s="12">
        <f t="shared" si="765"/>
        <v>3.8595000000000006</v>
      </c>
      <c r="AM644" s="12">
        <f t="shared" si="766"/>
        <v>0.5982225000000001</v>
      </c>
      <c r="AN644" s="12">
        <f t="shared" si="767"/>
        <v>0.5982225000000001</v>
      </c>
      <c r="AO644" s="12" t="str">
        <f t="shared" si="768"/>
        <v/>
      </c>
      <c r="AP644" s="12">
        <f t="shared" si="769"/>
        <v>3.7649999999999997</v>
      </c>
      <c r="AQ644" s="12" t="str">
        <f t="shared" si="770"/>
        <v/>
      </c>
      <c r="AR644" s="12" t="str">
        <f t="shared" si="771"/>
        <v/>
      </c>
      <c r="AS644" s="12" t="str">
        <f t="shared" si="772"/>
        <v/>
      </c>
      <c r="AT644" s="12" t="str">
        <f t="shared" si="773"/>
        <v/>
      </c>
      <c r="AU644" s="12" t="str">
        <f t="shared" si="774"/>
        <v/>
      </c>
      <c r="AV644" s="17"/>
    </row>
    <row r="645" spans="1:48" x14ac:dyDescent="0.25">
      <c r="A645" s="43" t="s">
        <v>374</v>
      </c>
      <c r="B645" s="52" t="s">
        <v>848</v>
      </c>
      <c r="C645" s="44"/>
      <c r="D645" s="43"/>
      <c r="E645" s="52" t="s">
        <v>692</v>
      </c>
      <c r="F645" s="46"/>
      <c r="G645" s="76" t="s">
        <v>1010</v>
      </c>
      <c r="H645" s="48" t="s">
        <v>1104</v>
      </c>
      <c r="I645" s="48"/>
      <c r="J645" s="84" t="s">
        <v>1125</v>
      </c>
      <c r="K645" s="85"/>
      <c r="L645" s="47" t="s">
        <v>622</v>
      </c>
      <c r="M645" s="3">
        <f>3.755</f>
        <v>3.7549999999999999</v>
      </c>
      <c r="N645" s="3">
        <f t="shared" si="763"/>
        <v>2.9000000000000004</v>
      </c>
      <c r="O645" s="22">
        <v>0.155</v>
      </c>
      <c r="P645" s="23">
        <v>1</v>
      </c>
      <c r="Q645" s="3"/>
      <c r="R645" s="3">
        <f>1.2*2.17+1.65*2.7</f>
        <v>7.0589999999999993</v>
      </c>
      <c r="S645" s="3"/>
      <c r="T645" s="3"/>
      <c r="U645" s="3"/>
      <c r="V645" s="23"/>
      <c r="W645" s="3"/>
      <c r="X645" s="3"/>
      <c r="Y645" s="17"/>
      <c r="Z645" s="17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12">
        <f t="shared" si="764"/>
        <v>3.8305000000000025</v>
      </c>
      <c r="AL645" s="12">
        <f t="shared" si="765"/>
        <v>3.8305000000000025</v>
      </c>
      <c r="AM645" s="12">
        <f t="shared" si="766"/>
        <v>0.59372750000000041</v>
      </c>
      <c r="AN645" s="12">
        <f t="shared" si="767"/>
        <v>0.59372750000000041</v>
      </c>
      <c r="AO645" s="12" t="str">
        <f t="shared" si="768"/>
        <v/>
      </c>
      <c r="AP645" s="12">
        <f t="shared" si="769"/>
        <v>3.7549999999999999</v>
      </c>
      <c r="AQ645" s="12" t="str">
        <f t="shared" si="770"/>
        <v/>
      </c>
      <c r="AR645" s="12" t="str">
        <f t="shared" si="771"/>
        <v/>
      </c>
      <c r="AS645" s="12" t="str">
        <f t="shared" si="772"/>
        <v/>
      </c>
      <c r="AT645" s="12" t="str">
        <f t="shared" si="773"/>
        <v/>
      </c>
      <c r="AU645" s="12" t="str">
        <f t="shared" si="774"/>
        <v/>
      </c>
      <c r="AV645" s="17"/>
    </row>
    <row r="646" spans="1:48" x14ac:dyDescent="0.25">
      <c r="A646" s="43" t="s">
        <v>374</v>
      </c>
      <c r="B646" s="52" t="s">
        <v>849</v>
      </c>
      <c r="C646" s="44"/>
      <c r="D646" s="43"/>
      <c r="E646" s="52" t="s">
        <v>692</v>
      </c>
      <c r="F646" s="46"/>
      <c r="G646" s="76" t="s">
        <v>1011</v>
      </c>
      <c r="H646" s="48" t="s">
        <v>1104</v>
      </c>
      <c r="I646" s="48"/>
      <c r="J646" s="84" t="s">
        <v>1125</v>
      </c>
      <c r="K646" s="85"/>
      <c r="L646" s="47" t="s">
        <v>622</v>
      </c>
      <c r="M646" s="3">
        <v>1.835</v>
      </c>
      <c r="N646" s="3">
        <f t="shared" si="763"/>
        <v>2.9000000000000004</v>
      </c>
      <c r="O646" s="22">
        <v>0.155</v>
      </c>
      <c r="P646" s="23">
        <v>1</v>
      </c>
      <c r="Q646" s="3"/>
      <c r="R646" s="3">
        <f>1.2*2.17</f>
        <v>2.6039999999999996</v>
      </c>
      <c r="S646" s="3"/>
      <c r="T646" s="3"/>
      <c r="U646" s="3"/>
      <c r="V646" s="23"/>
      <c r="W646" s="3"/>
      <c r="X646" s="3"/>
      <c r="Y646" s="17"/>
      <c r="Z646" s="17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12">
        <f t="shared" si="764"/>
        <v>2.7175000000000007</v>
      </c>
      <c r="AL646" s="12">
        <f t="shared" si="765"/>
        <v>2.7175000000000007</v>
      </c>
      <c r="AM646" s="12">
        <f t="shared" si="766"/>
        <v>0.4212125000000001</v>
      </c>
      <c r="AN646" s="12">
        <f t="shared" si="767"/>
        <v>0.4212125000000001</v>
      </c>
      <c r="AO646" s="12" t="str">
        <f t="shared" si="768"/>
        <v/>
      </c>
      <c r="AP646" s="12">
        <f t="shared" si="769"/>
        <v>1.835</v>
      </c>
      <c r="AQ646" s="12" t="str">
        <f t="shared" si="770"/>
        <v/>
      </c>
      <c r="AR646" s="12" t="str">
        <f t="shared" si="771"/>
        <v/>
      </c>
      <c r="AS646" s="12" t="str">
        <f t="shared" si="772"/>
        <v/>
      </c>
      <c r="AT646" s="12" t="str">
        <f t="shared" si="773"/>
        <v/>
      </c>
      <c r="AU646" s="12" t="str">
        <f t="shared" si="774"/>
        <v/>
      </c>
      <c r="AV646" s="17"/>
    </row>
    <row r="647" spans="1:48" x14ac:dyDescent="0.25">
      <c r="A647" s="43" t="s">
        <v>374</v>
      </c>
      <c r="B647" s="52" t="s">
        <v>860</v>
      </c>
      <c r="C647" s="44"/>
      <c r="D647" s="43"/>
      <c r="E647" s="52" t="s">
        <v>692</v>
      </c>
      <c r="F647" s="46"/>
      <c r="G647" s="76" t="s">
        <v>1012</v>
      </c>
      <c r="H647" s="48" t="s">
        <v>1104</v>
      </c>
      <c r="I647" s="48"/>
      <c r="J647" s="84" t="s">
        <v>1125</v>
      </c>
      <c r="K647" s="85"/>
      <c r="L647" s="47" t="s">
        <v>622</v>
      </c>
      <c r="M647" s="3">
        <f>0.68+1.26+0.155+1.265+0.625</f>
        <v>3.9849999999999994</v>
      </c>
      <c r="N647" s="3">
        <f t="shared" si="763"/>
        <v>2.9000000000000004</v>
      </c>
      <c r="O647" s="22">
        <v>0.155</v>
      </c>
      <c r="P647" s="23">
        <v>1</v>
      </c>
      <c r="Q647" s="3"/>
      <c r="R647" s="3">
        <f>1.2*2.17*2</f>
        <v>5.2079999999999993</v>
      </c>
      <c r="S647" s="3"/>
      <c r="T647" s="3"/>
      <c r="U647" s="3"/>
      <c r="V647" s="23"/>
      <c r="W647" s="3"/>
      <c r="X647" s="3"/>
      <c r="Y647" s="17"/>
      <c r="Z647" s="17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12">
        <f t="shared" si="764"/>
        <v>6.3485000000000005</v>
      </c>
      <c r="AL647" s="12">
        <f t="shared" si="765"/>
        <v>6.3485000000000005</v>
      </c>
      <c r="AM647" s="12">
        <f t="shared" si="766"/>
        <v>0.9840175000000001</v>
      </c>
      <c r="AN647" s="12">
        <f t="shared" si="767"/>
        <v>0.9840175000000001</v>
      </c>
      <c r="AO647" s="12" t="str">
        <f t="shared" si="768"/>
        <v/>
      </c>
      <c r="AP647" s="12">
        <f t="shared" si="769"/>
        <v>3.9849999999999994</v>
      </c>
      <c r="AQ647" s="12" t="str">
        <f t="shared" si="770"/>
        <v/>
      </c>
      <c r="AR647" s="12" t="str">
        <f t="shared" si="771"/>
        <v/>
      </c>
      <c r="AS647" s="12" t="str">
        <f t="shared" si="772"/>
        <v/>
      </c>
      <c r="AT647" s="12" t="str">
        <f t="shared" si="773"/>
        <v/>
      </c>
      <c r="AU647" s="12" t="str">
        <f t="shared" si="774"/>
        <v/>
      </c>
      <c r="AV647" s="17"/>
    </row>
    <row r="648" spans="1:48" x14ac:dyDescent="0.25">
      <c r="A648" s="43" t="s">
        <v>374</v>
      </c>
      <c r="B648" s="52" t="s">
        <v>861</v>
      </c>
      <c r="C648" s="44"/>
      <c r="D648" s="43"/>
      <c r="E648" s="52" t="s">
        <v>692</v>
      </c>
      <c r="F648" s="46"/>
      <c r="G648" s="76" t="s">
        <v>1013</v>
      </c>
      <c r="H648" s="48" t="s">
        <v>1104</v>
      </c>
      <c r="I648" s="48"/>
      <c r="J648" s="84" t="s">
        <v>1125</v>
      </c>
      <c r="K648" s="85"/>
      <c r="L648" s="47" t="s">
        <v>622</v>
      </c>
      <c r="M648" s="3">
        <f>0.68+1.26+0.155+1.26+0.68</f>
        <v>4.0349999999999993</v>
      </c>
      <c r="N648" s="3">
        <f t="shared" si="763"/>
        <v>2.9000000000000004</v>
      </c>
      <c r="O648" s="22">
        <v>0.155</v>
      </c>
      <c r="P648" s="23">
        <v>1</v>
      </c>
      <c r="Q648" s="3"/>
      <c r="R648" s="3">
        <f>1.2*2.17*2</f>
        <v>5.2079999999999993</v>
      </c>
      <c r="S648" s="3"/>
      <c r="T648" s="3"/>
      <c r="U648" s="3"/>
      <c r="V648" s="23"/>
      <c r="W648" s="3"/>
      <c r="X648" s="3"/>
      <c r="Y648" s="17"/>
      <c r="Z648" s="17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12">
        <f t="shared" si="764"/>
        <v>6.4935</v>
      </c>
      <c r="AL648" s="12">
        <f t="shared" si="765"/>
        <v>6.4935</v>
      </c>
      <c r="AM648" s="12">
        <f t="shared" si="766"/>
        <v>1.0064925</v>
      </c>
      <c r="AN648" s="12">
        <f t="shared" si="767"/>
        <v>1.0064925</v>
      </c>
      <c r="AO648" s="12" t="str">
        <f t="shared" si="768"/>
        <v/>
      </c>
      <c r="AP648" s="12">
        <f t="shared" si="769"/>
        <v>4.0349999999999993</v>
      </c>
      <c r="AQ648" s="12" t="str">
        <f t="shared" si="770"/>
        <v/>
      </c>
      <c r="AR648" s="12" t="str">
        <f t="shared" si="771"/>
        <v/>
      </c>
      <c r="AS648" s="12" t="str">
        <f t="shared" si="772"/>
        <v/>
      </c>
      <c r="AT648" s="12" t="str">
        <f t="shared" si="773"/>
        <v/>
      </c>
      <c r="AU648" s="12" t="str">
        <f t="shared" si="774"/>
        <v/>
      </c>
      <c r="AV648" s="17"/>
    </row>
    <row r="649" spans="1:48" x14ac:dyDescent="0.25">
      <c r="A649" s="43" t="s">
        <v>374</v>
      </c>
      <c r="B649" s="52" t="s">
        <v>855</v>
      </c>
      <c r="C649" s="44"/>
      <c r="D649" s="43"/>
      <c r="E649" s="52" t="s">
        <v>692</v>
      </c>
      <c r="F649" s="46"/>
      <c r="G649" s="76" t="s">
        <v>1014</v>
      </c>
      <c r="H649" s="48" t="s">
        <v>1104</v>
      </c>
      <c r="I649" s="48"/>
      <c r="J649" s="84" t="s">
        <v>1125</v>
      </c>
      <c r="K649" s="85"/>
      <c r="L649" s="47" t="s">
        <v>622</v>
      </c>
      <c r="M649" s="3">
        <f>1.26+0.68</f>
        <v>1.94</v>
      </c>
      <c r="N649" s="3">
        <f t="shared" si="763"/>
        <v>2.9000000000000004</v>
      </c>
      <c r="O649" s="22">
        <v>0.155</v>
      </c>
      <c r="P649" s="23">
        <v>1</v>
      </c>
      <c r="Q649" s="3"/>
      <c r="R649" s="3">
        <f>1.2*2.17</f>
        <v>2.6039999999999996</v>
      </c>
      <c r="S649" s="3"/>
      <c r="T649" s="3"/>
      <c r="U649" s="3"/>
      <c r="V649" s="23"/>
      <c r="W649" s="3"/>
      <c r="X649" s="3"/>
      <c r="Y649" s="17"/>
      <c r="Z649" s="17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12">
        <f t="shared" si="764"/>
        <v>3.0220000000000007</v>
      </c>
      <c r="AL649" s="12">
        <f t="shared" si="765"/>
        <v>3.0220000000000007</v>
      </c>
      <c r="AM649" s="12">
        <f t="shared" si="766"/>
        <v>0.4684100000000001</v>
      </c>
      <c r="AN649" s="12">
        <f t="shared" si="767"/>
        <v>0.4684100000000001</v>
      </c>
      <c r="AO649" s="12" t="str">
        <f t="shared" si="768"/>
        <v/>
      </c>
      <c r="AP649" s="12">
        <f t="shared" si="769"/>
        <v>1.94</v>
      </c>
      <c r="AQ649" s="12" t="str">
        <f t="shared" si="770"/>
        <v/>
      </c>
      <c r="AR649" s="12" t="str">
        <f t="shared" si="771"/>
        <v/>
      </c>
      <c r="AS649" s="12" t="str">
        <f t="shared" si="772"/>
        <v/>
      </c>
      <c r="AT649" s="12" t="str">
        <f t="shared" si="773"/>
        <v/>
      </c>
      <c r="AU649" s="12" t="str">
        <f t="shared" si="774"/>
        <v/>
      </c>
      <c r="AV649" s="17"/>
    </row>
    <row r="650" spans="1:48" x14ac:dyDescent="0.25">
      <c r="A650" s="43" t="s">
        <v>374</v>
      </c>
      <c r="B650" s="52" t="s">
        <v>856</v>
      </c>
      <c r="C650" s="44"/>
      <c r="D650" s="43"/>
      <c r="E650" s="52" t="s">
        <v>692</v>
      </c>
      <c r="F650" s="46"/>
      <c r="G650" s="76" t="s">
        <v>1015</v>
      </c>
      <c r="H650" s="48" t="s">
        <v>1104</v>
      </c>
      <c r="I650" s="48"/>
      <c r="J650" s="84" t="s">
        <v>1125</v>
      </c>
      <c r="K650" s="85"/>
      <c r="L650" s="47" t="s">
        <v>622</v>
      </c>
      <c r="M650" s="3">
        <f>1.7+0.155+1.175+0.73</f>
        <v>3.7600000000000002</v>
      </c>
      <c r="N650" s="3">
        <f t="shared" si="763"/>
        <v>2.9000000000000004</v>
      </c>
      <c r="O650" s="22">
        <v>0.155</v>
      </c>
      <c r="P650" s="23">
        <v>1</v>
      </c>
      <c r="Q650" s="3"/>
      <c r="R650" s="3">
        <f>1.2*2.17+1.65*2.7</f>
        <v>7.0589999999999993</v>
      </c>
      <c r="S650" s="3"/>
      <c r="T650" s="3"/>
      <c r="U650" s="3"/>
      <c r="V650" s="23"/>
      <c r="W650" s="3"/>
      <c r="X650" s="3"/>
      <c r="Y650" s="17"/>
      <c r="Z650" s="17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12">
        <f t="shared" si="764"/>
        <v>3.8450000000000024</v>
      </c>
      <c r="AL650" s="12">
        <f t="shared" si="765"/>
        <v>3.8450000000000024</v>
      </c>
      <c r="AM650" s="12">
        <f t="shared" si="766"/>
        <v>0.59597500000000037</v>
      </c>
      <c r="AN650" s="12">
        <f t="shared" si="767"/>
        <v>0.59597500000000037</v>
      </c>
      <c r="AO650" s="12" t="str">
        <f t="shared" si="768"/>
        <v/>
      </c>
      <c r="AP650" s="12">
        <f t="shared" si="769"/>
        <v>3.7600000000000002</v>
      </c>
      <c r="AQ650" s="12" t="str">
        <f t="shared" si="770"/>
        <v/>
      </c>
      <c r="AR650" s="12" t="str">
        <f t="shared" si="771"/>
        <v/>
      </c>
      <c r="AS650" s="12" t="str">
        <f t="shared" si="772"/>
        <v/>
      </c>
      <c r="AT650" s="12" t="str">
        <f t="shared" si="773"/>
        <v/>
      </c>
      <c r="AU650" s="12" t="str">
        <f t="shared" si="774"/>
        <v/>
      </c>
      <c r="AV650" s="17"/>
    </row>
    <row r="651" spans="1:48" x14ac:dyDescent="0.25">
      <c r="A651" s="43" t="s">
        <v>374</v>
      </c>
      <c r="B651" s="52" t="s">
        <v>632</v>
      </c>
      <c r="C651" s="44"/>
      <c r="D651" s="43"/>
      <c r="E651" s="52" t="s">
        <v>692</v>
      </c>
      <c r="F651" s="46"/>
      <c r="G651" s="76" t="s">
        <v>1016</v>
      </c>
      <c r="H651" s="48" t="s">
        <v>1104</v>
      </c>
      <c r="I651" s="48"/>
      <c r="J651" s="84" t="s">
        <v>1125</v>
      </c>
      <c r="K651" s="85"/>
      <c r="L651" s="47" t="s">
        <v>622</v>
      </c>
      <c r="M651" s="3">
        <v>2</v>
      </c>
      <c r="N651" s="3">
        <f t="shared" si="763"/>
        <v>2.9000000000000004</v>
      </c>
      <c r="O651" s="22">
        <v>0.155</v>
      </c>
      <c r="P651" s="23">
        <v>1</v>
      </c>
      <c r="Q651" s="3"/>
      <c r="R651" s="3">
        <f t="shared" ref="R651:R652" si="775">1.2*2.17</f>
        <v>2.6039999999999996</v>
      </c>
      <c r="S651" s="3"/>
      <c r="T651" s="3"/>
      <c r="U651" s="3"/>
      <c r="V651" s="23"/>
      <c r="W651" s="3"/>
      <c r="X651" s="3"/>
      <c r="Y651" s="17"/>
      <c r="Z651" s="17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12">
        <f t="shared" si="764"/>
        <v>3.1960000000000011</v>
      </c>
      <c r="AL651" s="12">
        <f t="shared" si="765"/>
        <v>3.1960000000000011</v>
      </c>
      <c r="AM651" s="12">
        <f t="shared" si="766"/>
        <v>0.49538000000000015</v>
      </c>
      <c r="AN651" s="12">
        <f t="shared" si="767"/>
        <v>0.49538000000000015</v>
      </c>
      <c r="AO651" s="12" t="str">
        <f t="shared" si="768"/>
        <v/>
      </c>
      <c r="AP651" s="12">
        <f t="shared" si="769"/>
        <v>2</v>
      </c>
      <c r="AQ651" s="12" t="str">
        <f t="shared" si="770"/>
        <v/>
      </c>
      <c r="AR651" s="12" t="str">
        <f t="shared" si="771"/>
        <v/>
      </c>
      <c r="AS651" s="12" t="str">
        <f t="shared" si="772"/>
        <v/>
      </c>
      <c r="AT651" s="12" t="str">
        <f t="shared" si="773"/>
        <v/>
      </c>
      <c r="AU651" s="12" t="str">
        <f t="shared" si="774"/>
        <v/>
      </c>
      <c r="AV651" s="17"/>
    </row>
    <row r="652" spans="1:48" x14ac:dyDescent="0.25">
      <c r="A652" s="43" t="s">
        <v>374</v>
      </c>
      <c r="B652" s="52" t="s">
        <v>638</v>
      </c>
      <c r="C652" s="44"/>
      <c r="D652" s="43"/>
      <c r="E652" s="52" t="s">
        <v>692</v>
      </c>
      <c r="F652" s="46"/>
      <c r="G652" s="76" t="s">
        <v>1017</v>
      </c>
      <c r="H652" s="48" t="s">
        <v>1104</v>
      </c>
      <c r="I652" s="48"/>
      <c r="J652" s="84" t="s">
        <v>1125</v>
      </c>
      <c r="K652" s="85"/>
      <c r="L652" s="47" t="s">
        <v>622</v>
      </c>
      <c r="M652" s="3">
        <v>2.125</v>
      </c>
      <c r="N652" s="3">
        <f t="shared" si="763"/>
        <v>2.9000000000000004</v>
      </c>
      <c r="O652" s="22">
        <v>0.155</v>
      </c>
      <c r="P652" s="23">
        <v>1</v>
      </c>
      <c r="Q652" s="3"/>
      <c r="R652" s="3">
        <f t="shared" si="775"/>
        <v>2.6039999999999996</v>
      </c>
      <c r="S652" s="3"/>
      <c r="T652" s="3"/>
      <c r="U652" s="3"/>
      <c r="V652" s="23"/>
      <c r="W652" s="3"/>
      <c r="X652" s="3"/>
      <c r="Y652" s="17"/>
      <c r="Z652" s="17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12">
        <f t="shared" si="764"/>
        <v>3.5585000000000009</v>
      </c>
      <c r="AL652" s="12">
        <f t="shared" si="765"/>
        <v>3.5585000000000009</v>
      </c>
      <c r="AM652" s="12">
        <f t="shared" si="766"/>
        <v>0.5515675000000001</v>
      </c>
      <c r="AN652" s="12">
        <f t="shared" si="767"/>
        <v>0.5515675000000001</v>
      </c>
      <c r="AO652" s="12" t="str">
        <f t="shared" si="768"/>
        <v/>
      </c>
      <c r="AP652" s="12">
        <f t="shared" si="769"/>
        <v>2.125</v>
      </c>
      <c r="AQ652" s="12" t="str">
        <f t="shared" si="770"/>
        <v/>
      </c>
      <c r="AR652" s="12" t="str">
        <f t="shared" si="771"/>
        <v/>
      </c>
      <c r="AS652" s="12" t="str">
        <f t="shared" si="772"/>
        <v/>
      </c>
      <c r="AT652" s="12" t="str">
        <f t="shared" si="773"/>
        <v/>
      </c>
      <c r="AU652" s="12" t="str">
        <f t="shared" si="774"/>
        <v/>
      </c>
      <c r="AV652" s="17"/>
    </row>
    <row r="653" spans="1:48" x14ac:dyDescent="0.25">
      <c r="A653" s="43" t="s">
        <v>374</v>
      </c>
      <c r="B653" s="52" t="s">
        <v>875</v>
      </c>
      <c r="C653" s="44"/>
      <c r="D653" s="43"/>
      <c r="E653" s="52" t="s">
        <v>692</v>
      </c>
      <c r="F653" s="46"/>
      <c r="G653" s="76" t="s">
        <v>1018</v>
      </c>
      <c r="H653" s="48" t="s">
        <v>1106</v>
      </c>
      <c r="I653" s="48"/>
      <c r="J653" s="84" t="s">
        <v>1145</v>
      </c>
      <c r="K653" s="85"/>
      <c r="L653" s="47" t="s">
        <v>622</v>
      </c>
      <c r="M653" s="3">
        <f>4.575</f>
        <v>4.5750000000000002</v>
      </c>
      <c r="N653" s="3">
        <f t="shared" si="763"/>
        <v>2.9000000000000004</v>
      </c>
      <c r="O653" s="22">
        <v>0.155</v>
      </c>
      <c r="P653" s="23">
        <v>1</v>
      </c>
      <c r="Q653" s="3"/>
      <c r="R653" s="3"/>
      <c r="S653" s="3"/>
      <c r="T653" s="3"/>
      <c r="U653" s="3"/>
      <c r="V653" s="23"/>
      <c r="W653" s="3"/>
      <c r="X653" s="3"/>
      <c r="Y653" s="17"/>
      <c r="Z653" s="17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12">
        <f t="shared" si="764"/>
        <v>13.267500000000002</v>
      </c>
      <c r="AL653" s="12">
        <f t="shared" si="765"/>
        <v>13.267500000000002</v>
      </c>
      <c r="AM653" s="12">
        <f t="shared" si="766"/>
        <v>2.0564625000000003</v>
      </c>
      <c r="AN653" s="12">
        <f t="shared" si="767"/>
        <v>2.0564625000000003</v>
      </c>
      <c r="AO653" s="12" t="str">
        <f t="shared" si="768"/>
        <v/>
      </c>
      <c r="AP653" s="12">
        <f t="shared" si="769"/>
        <v>4.5750000000000002</v>
      </c>
      <c r="AQ653" s="12" t="str">
        <f t="shared" si="770"/>
        <v/>
      </c>
      <c r="AR653" s="12" t="str">
        <f t="shared" si="771"/>
        <v/>
      </c>
      <c r="AS653" s="12" t="str">
        <f t="shared" si="772"/>
        <v/>
      </c>
      <c r="AT653" s="12" t="str">
        <f t="shared" si="773"/>
        <v/>
      </c>
      <c r="AU653" s="12" t="str">
        <f t="shared" si="774"/>
        <v/>
      </c>
      <c r="AV653" s="17"/>
    </row>
    <row r="654" spans="1:48" x14ac:dyDescent="0.25">
      <c r="A654" s="43" t="s">
        <v>374</v>
      </c>
      <c r="B654" s="52" t="s">
        <v>876</v>
      </c>
      <c r="C654" s="44"/>
      <c r="D654" s="43"/>
      <c r="E654" s="52" t="s">
        <v>692</v>
      </c>
      <c r="F654" s="46"/>
      <c r="G654" s="76" t="s">
        <v>1019</v>
      </c>
      <c r="H654" s="48" t="s">
        <v>1106</v>
      </c>
      <c r="I654" s="48"/>
      <c r="J654" s="84" t="s">
        <v>1145</v>
      </c>
      <c r="K654" s="85"/>
      <c r="L654" s="47" t="s">
        <v>622</v>
      </c>
      <c r="M654" s="3">
        <f>2.1+0.155</f>
        <v>2.2549999999999999</v>
      </c>
      <c r="N654" s="3">
        <f t="shared" si="763"/>
        <v>2.9000000000000004</v>
      </c>
      <c r="O654" s="22">
        <v>0.155</v>
      </c>
      <c r="P654" s="23">
        <v>1</v>
      </c>
      <c r="Q654" s="3"/>
      <c r="R654" s="3"/>
      <c r="S654" s="3"/>
      <c r="T654" s="3"/>
      <c r="U654" s="3"/>
      <c r="V654" s="23"/>
      <c r="W654" s="3"/>
      <c r="X654" s="3"/>
      <c r="Y654" s="17"/>
      <c r="Z654" s="17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12">
        <f t="shared" si="764"/>
        <v>6.5395000000000003</v>
      </c>
      <c r="AL654" s="12">
        <f t="shared" si="765"/>
        <v>6.5395000000000003</v>
      </c>
      <c r="AM654" s="12">
        <f t="shared" si="766"/>
        <v>1.0136225000000001</v>
      </c>
      <c r="AN654" s="12">
        <f t="shared" si="767"/>
        <v>1.0136225000000001</v>
      </c>
      <c r="AO654" s="12" t="str">
        <f t="shared" si="768"/>
        <v/>
      </c>
      <c r="AP654" s="12">
        <f t="shared" si="769"/>
        <v>2.2549999999999999</v>
      </c>
      <c r="AQ654" s="12" t="str">
        <f t="shared" si="770"/>
        <v/>
      </c>
      <c r="AR654" s="12" t="str">
        <f t="shared" si="771"/>
        <v/>
      </c>
      <c r="AS654" s="12" t="str">
        <f t="shared" si="772"/>
        <v/>
      </c>
      <c r="AT654" s="12" t="str">
        <f t="shared" si="773"/>
        <v/>
      </c>
      <c r="AU654" s="12" t="str">
        <f t="shared" si="774"/>
        <v/>
      </c>
      <c r="AV654" s="17"/>
    </row>
    <row r="655" spans="1:48" x14ac:dyDescent="0.25">
      <c r="A655" s="43" t="s">
        <v>374</v>
      </c>
      <c r="B655" s="52" t="s">
        <v>877</v>
      </c>
      <c r="C655" s="44"/>
      <c r="D655" s="43"/>
      <c r="E655" s="52" t="s">
        <v>692</v>
      </c>
      <c r="F655" s="46"/>
      <c r="G655" s="76" t="s">
        <v>1020</v>
      </c>
      <c r="H655" s="48" t="s">
        <v>1106</v>
      </c>
      <c r="I655" s="48"/>
      <c r="J655" s="84" t="s">
        <v>1145</v>
      </c>
      <c r="K655" s="85"/>
      <c r="L655" s="47" t="s">
        <v>622</v>
      </c>
      <c r="M655" s="3">
        <f>2.185</f>
        <v>2.1850000000000001</v>
      </c>
      <c r="N655" s="3">
        <f t="shared" si="763"/>
        <v>2.9000000000000004</v>
      </c>
      <c r="O655" s="22">
        <v>0.155</v>
      </c>
      <c r="P655" s="23">
        <v>1</v>
      </c>
      <c r="Q655" s="3"/>
      <c r="R655" s="3"/>
      <c r="S655" s="3"/>
      <c r="T655" s="3"/>
      <c r="U655" s="3"/>
      <c r="V655" s="23"/>
      <c r="W655" s="3"/>
      <c r="X655" s="3"/>
      <c r="Y655" s="17"/>
      <c r="Z655" s="17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12">
        <f t="shared" si="764"/>
        <v>6.3365000000000009</v>
      </c>
      <c r="AL655" s="12">
        <f t="shared" si="765"/>
        <v>6.3365000000000009</v>
      </c>
      <c r="AM655" s="12">
        <f t="shared" si="766"/>
        <v>0.98215750000000013</v>
      </c>
      <c r="AN655" s="12">
        <f t="shared" si="767"/>
        <v>0.98215750000000013</v>
      </c>
      <c r="AO655" s="12" t="str">
        <f t="shared" si="768"/>
        <v/>
      </c>
      <c r="AP655" s="12">
        <f t="shared" si="769"/>
        <v>2.1850000000000001</v>
      </c>
      <c r="AQ655" s="12" t="str">
        <f t="shared" si="770"/>
        <v/>
      </c>
      <c r="AR655" s="12" t="str">
        <f t="shared" si="771"/>
        <v/>
      </c>
      <c r="AS655" s="12" t="str">
        <f t="shared" si="772"/>
        <v/>
      </c>
      <c r="AT655" s="12" t="str">
        <f t="shared" si="773"/>
        <v/>
      </c>
      <c r="AU655" s="12" t="str">
        <f t="shared" si="774"/>
        <v/>
      </c>
      <c r="AV655" s="17"/>
    </row>
    <row r="656" spans="1:48" x14ac:dyDescent="0.25">
      <c r="A656" s="43" t="s">
        <v>374</v>
      </c>
      <c r="B656" s="52" t="s">
        <v>878</v>
      </c>
      <c r="C656" s="44"/>
      <c r="D656" s="43"/>
      <c r="E656" s="52" t="s">
        <v>692</v>
      </c>
      <c r="F656" s="46"/>
      <c r="G656" s="76" t="s">
        <v>1021</v>
      </c>
      <c r="H656" s="48" t="s">
        <v>1106</v>
      </c>
      <c r="I656" s="48"/>
      <c r="J656" s="84" t="s">
        <v>1145</v>
      </c>
      <c r="K656" s="85"/>
      <c r="L656" s="47" t="s">
        <v>622</v>
      </c>
      <c r="M656" s="3">
        <f>4.575</f>
        <v>4.5750000000000002</v>
      </c>
      <c r="N656" s="3">
        <f t="shared" si="763"/>
        <v>2.9000000000000004</v>
      </c>
      <c r="O656" s="22">
        <v>0.155</v>
      </c>
      <c r="P656" s="23">
        <v>1</v>
      </c>
      <c r="Q656" s="3"/>
      <c r="R656" s="3"/>
      <c r="S656" s="3"/>
      <c r="T656" s="3"/>
      <c r="U656" s="3"/>
      <c r="V656" s="23"/>
      <c r="W656" s="3"/>
      <c r="X656" s="3"/>
      <c r="Y656" s="17"/>
      <c r="Z656" s="17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12">
        <f t="shared" si="764"/>
        <v>13.267500000000002</v>
      </c>
      <c r="AL656" s="12">
        <f t="shared" si="765"/>
        <v>13.267500000000002</v>
      </c>
      <c r="AM656" s="12">
        <f t="shared" si="766"/>
        <v>2.0564625000000003</v>
      </c>
      <c r="AN656" s="12">
        <f t="shared" si="767"/>
        <v>2.0564625000000003</v>
      </c>
      <c r="AO656" s="12" t="str">
        <f t="shared" si="768"/>
        <v/>
      </c>
      <c r="AP656" s="12">
        <f t="shared" si="769"/>
        <v>4.5750000000000002</v>
      </c>
      <c r="AQ656" s="12" t="str">
        <f t="shared" si="770"/>
        <v/>
      </c>
      <c r="AR656" s="12" t="str">
        <f t="shared" si="771"/>
        <v/>
      </c>
      <c r="AS656" s="12" t="str">
        <f t="shared" si="772"/>
        <v/>
      </c>
      <c r="AT656" s="12" t="str">
        <f t="shared" si="773"/>
        <v/>
      </c>
      <c r="AU656" s="12" t="str">
        <f t="shared" si="774"/>
        <v/>
      </c>
      <c r="AV656" s="17"/>
    </row>
    <row r="657" spans="1:48" x14ac:dyDescent="0.25">
      <c r="A657" s="43" t="s">
        <v>374</v>
      </c>
      <c r="B657" s="52" t="s">
        <v>879</v>
      </c>
      <c r="C657" s="44"/>
      <c r="D657" s="43"/>
      <c r="E657" s="52" t="s">
        <v>692</v>
      </c>
      <c r="F657" s="46"/>
      <c r="G657" s="76" t="s">
        <v>1022</v>
      </c>
      <c r="H657" s="48" t="s">
        <v>1103</v>
      </c>
      <c r="I657" s="48"/>
      <c r="J657" s="84" t="s">
        <v>1145</v>
      </c>
      <c r="K657" s="85"/>
      <c r="L657" s="47" t="s">
        <v>622</v>
      </c>
      <c r="M657" s="3">
        <f>0.1+2.5+0.465+2.5+0.155</f>
        <v>5.72</v>
      </c>
      <c r="N657" s="3">
        <f t="shared" si="763"/>
        <v>2.9000000000000004</v>
      </c>
      <c r="O657" s="22">
        <v>0.20499999999999999</v>
      </c>
      <c r="P657" s="23">
        <v>1</v>
      </c>
      <c r="Q657" s="3"/>
      <c r="R657" s="3"/>
      <c r="S657" s="3"/>
      <c r="T657" s="3"/>
      <c r="U657" s="3"/>
      <c r="V657" s="23"/>
      <c r="W657" s="3"/>
      <c r="X657" s="3"/>
      <c r="Y657" s="17"/>
      <c r="Z657" s="17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12">
        <f t="shared" si="764"/>
        <v>16.588000000000001</v>
      </c>
      <c r="AL657" s="12">
        <f t="shared" si="765"/>
        <v>16.588000000000001</v>
      </c>
      <c r="AM657" s="12">
        <f t="shared" si="766"/>
        <v>3.4005399999999999</v>
      </c>
      <c r="AN657" s="12">
        <f t="shared" si="767"/>
        <v>3.4005399999999999</v>
      </c>
      <c r="AO657" s="12" t="str">
        <f t="shared" si="768"/>
        <v/>
      </c>
      <c r="AP657" s="12">
        <f t="shared" si="769"/>
        <v>5.72</v>
      </c>
      <c r="AQ657" s="12" t="str">
        <f t="shared" si="770"/>
        <v/>
      </c>
      <c r="AR657" s="12" t="str">
        <f t="shared" si="771"/>
        <v/>
      </c>
      <c r="AS657" s="12" t="str">
        <f t="shared" si="772"/>
        <v/>
      </c>
      <c r="AT657" s="12" t="str">
        <f t="shared" si="773"/>
        <v/>
      </c>
      <c r="AU657" s="12" t="str">
        <f t="shared" si="774"/>
        <v/>
      </c>
      <c r="AV657" s="17"/>
    </row>
    <row r="658" spans="1:48" x14ac:dyDescent="0.25">
      <c r="A658" s="43" t="s">
        <v>374</v>
      </c>
      <c r="B658" s="52" t="s">
        <v>880</v>
      </c>
      <c r="C658" s="44"/>
      <c r="D658" s="43"/>
      <c r="E658" s="52" t="s">
        <v>692</v>
      </c>
      <c r="F658" s="46"/>
      <c r="G658" s="76" t="s">
        <v>1023</v>
      </c>
      <c r="H658" s="48" t="s">
        <v>1104</v>
      </c>
      <c r="I658" s="48"/>
      <c r="J658" s="84" t="s">
        <v>1132</v>
      </c>
      <c r="K658" s="85"/>
      <c r="L658" s="47" t="s">
        <v>622</v>
      </c>
      <c r="M658" s="3">
        <f>2.15+0.205</f>
        <v>2.355</v>
      </c>
      <c r="N658" s="3">
        <f t="shared" si="763"/>
        <v>2.9000000000000004</v>
      </c>
      <c r="O658" s="22">
        <v>0.155</v>
      </c>
      <c r="P658" s="23">
        <v>1</v>
      </c>
      <c r="Q658" s="3"/>
      <c r="R658" s="3">
        <f>1.1*2.17</f>
        <v>2.387</v>
      </c>
      <c r="S658" s="3"/>
      <c r="T658" s="3"/>
      <c r="U658" s="3"/>
      <c r="V658" s="23"/>
      <c r="W658" s="3"/>
      <c r="X658" s="3"/>
      <c r="Y658" s="17"/>
      <c r="Z658" s="17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12">
        <f t="shared" si="764"/>
        <v>4.4425000000000008</v>
      </c>
      <c r="AL658" s="12">
        <f t="shared" si="765"/>
        <v>4.4425000000000008</v>
      </c>
      <c r="AM658" s="12">
        <f t="shared" si="766"/>
        <v>0.68858750000000013</v>
      </c>
      <c r="AN658" s="12">
        <f t="shared" si="767"/>
        <v>0.68858750000000013</v>
      </c>
      <c r="AO658" s="12" t="str">
        <f t="shared" si="768"/>
        <v/>
      </c>
      <c r="AP658" s="12">
        <f t="shared" si="769"/>
        <v>2.355</v>
      </c>
      <c r="AQ658" s="12" t="str">
        <f t="shared" si="770"/>
        <v/>
      </c>
      <c r="AR658" s="12" t="str">
        <f t="shared" si="771"/>
        <v/>
      </c>
      <c r="AS658" s="12" t="str">
        <f t="shared" si="772"/>
        <v/>
      </c>
      <c r="AT658" s="12" t="str">
        <f t="shared" si="773"/>
        <v/>
      </c>
      <c r="AU658" s="12" t="str">
        <f t="shared" si="774"/>
        <v/>
      </c>
      <c r="AV658" s="17"/>
    </row>
    <row r="659" spans="1:48" x14ac:dyDescent="0.25">
      <c r="A659" s="43" t="s">
        <v>374</v>
      </c>
      <c r="B659" s="52" t="s">
        <v>881</v>
      </c>
      <c r="C659" s="44"/>
      <c r="D659" s="43"/>
      <c r="E659" s="52" t="s">
        <v>692</v>
      </c>
      <c r="F659" s="46"/>
      <c r="G659" s="76" t="s">
        <v>1024</v>
      </c>
      <c r="H659" s="48" t="s">
        <v>1106</v>
      </c>
      <c r="I659" s="48"/>
      <c r="J659" s="84" t="s">
        <v>1145</v>
      </c>
      <c r="K659" s="85"/>
      <c r="L659" s="47" t="s">
        <v>622</v>
      </c>
      <c r="M659" s="3">
        <f>4.575</f>
        <v>4.5750000000000002</v>
      </c>
      <c r="N659" s="3">
        <f t="shared" si="763"/>
        <v>2.9000000000000004</v>
      </c>
      <c r="O659" s="22">
        <v>0.155</v>
      </c>
      <c r="P659" s="23">
        <v>1</v>
      </c>
      <c r="Q659" s="3"/>
      <c r="R659" s="3"/>
      <c r="S659" s="3"/>
      <c r="T659" s="3"/>
      <c r="U659" s="3"/>
      <c r="V659" s="23"/>
      <c r="W659" s="3"/>
      <c r="X659" s="3"/>
      <c r="Y659" s="17"/>
      <c r="Z659" s="17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12">
        <f t="shared" si="764"/>
        <v>13.267500000000002</v>
      </c>
      <c r="AL659" s="12">
        <f t="shared" si="765"/>
        <v>13.267500000000002</v>
      </c>
      <c r="AM659" s="12">
        <f t="shared" si="766"/>
        <v>2.0564625000000003</v>
      </c>
      <c r="AN659" s="12">
        <f t="shared" si="767"/>
        <v>2.0564625000000003</v>
      </c>
      <c r="AO659" s="12" t="str">
        <f t="shared" si="768"/>
        <v/>
      </c>
      <c r="AP659" s="12">
        <f t="shared" si="769"/>
        <v>4.5750000000000002</v>
      </c>
      <c r="AQ659" s="12" t="str">
        <f t="shared" si="770"/>
        <v/>
      </c>
      <c r="AR659" s="12" t="str">
        <f t="shared" si="771"/>
        <v/>
      </c>
      <c r="AS659" s="12" t="str">
        <f t="shared" si="772"/>
        <v/>
      </c>
      <c r="AT659" s="12" t="str">
        <f t="shared" si="773"/>
        <v/>
      </c>
      <c r="AU659" s="12" t="str">
        <f t="shared" si="774"/>
        <v/>
      </c>
      <c r="AV659" s="17"/>
    </row>
    <row r="660" spans="1:48" x14ac:dyDescent="0.25">
      <c r="A660" s="43" t="s">
        <v>374</v>
      </c>
      <c r="B660" s="52" t="s">
        <v>882</v>
      </c>
      <c r="C660" s="44"/>
      <c r="D660" s="43"/>
      <c r="E660" s="52" t="s">
        <v>692</v>
      </c>
      <c r="F660" s="46"/>
      <c r="G660" s="76" t="s">
        <v>1025</v>
      </c>
      <c r="H660" s="48" t="s">
        <v>1106</v>
      </c>
      <c r="I660" s="48"/>
      <c r="J660" s="84" t="s">
        <v>1145</v>
      </c>
      <c r="K660" s="85"/>
      <c r="L660" s="47" t="s">
        <v>622</v>
      </c>
      <c r="M660" s="3">
        <f>4.575</f>
        <v>4.5750000000000002</v>
      </c>
      <c r="N660" s="3">
        <f t="shared" si="763"/>
        <v>2.9000000000000004</v>
      </c>
      <c r="O660" s="22">
        <v>0.155</v>
      </c>
      <c r="P660" s="23">
        <v>1</v>
      </c>
      <c r="Q660" s="3"/>
      <c r="R660" s="3"/>
      <c r="S660" s="3"/>
      <c r="T660" s="3"/>
      <c r="U660" s="3"/>
      <c r="V660" s="23"/>
      <c r="W660" s="3"/>
      <c r="X660" s="3"/>
      <c r="Y660" s="17"/>
      <c r="Z660" s="17"/>
      <c r="AA660" s="3"/>
      <c r="AB660" s="3"/>
      <c r="AC660" s="3"/>
      <c r="AD660" s="3"/>
      <c r="AE660" s="3"/>
      <c r="AF660" s="3"/>
      <c r="AG660" s="3"/>
      <c r="AH660" s="3"/>
      <c r="AI660" s="3"/>
      <c r="AJ660" s="3"/>
      <c r="AK660" s="12">
        <f t="shared" si="764"/>
        <v>13.267500000000002</v>
      </c>
      <c r="AL660" s="12">
        <f t="shared" si="765"/>
        <v>13.267500000000002</v>
      </c>
      <c r="AM660" s="12">
        <f t="shared" si="766"/>
        <v>2.0564625000000003</v>
      </c>
      <c r="AN660" s="12">
        <f t="shared" si="767"/>
        <v>2.0564625000000003</v>
      </c>
      <c r="AO660" s="12" t="str">
        <f t="shared" si="768"/>
        <v/>
      </c>
      <c r="AP660" s="12">
        <f t="shared" si="769"/>
        <v>4.5750000000000002</v>
      </c>
      <c r="AQ660" s="12" t="str">
        <f t="shared" si="770"/>
        <v/>
      </c>
      <c r="AR660" s="12" t="str">
        <f t="shared" si="771"/>
        <v/>
      </c>
      <c r="AS660" s="12" t="str">
        <f t="shared" si="772"/>
        <v/>
      </c>
      <c r="AT660" s="12" t="str">
        <f t="shared" si="773"/>
        <v/>
      </c>
      <c r="AU660" s="12" t="str">
        <f t="shared" si="774"/>
        <v/>
      </c>
      <c r="AV660" s="17"/>
    </row>
    <row r="661" spans="1:48" x14ac:dyDescent="0.25">
      <c r="A661" s="43" t="s">
        <v>374</v>
      </c>
      <c r="B661" s="52" t="s">
        <v>883</v>
      </c>
      <c r="C661" s="44"/>
      <c r="D661" s="43"/>
      <c r="E661" s="52" t="s">
        <v>692</v>
      </c>
      <c r="F661" s="46"/>
      <c r="G661" s="76" t="s">
        <v>1026</v>
      </c>
      <c r="H661" s="48" t="s">
        <v>1106</v>
      </c>
      <c r="I661" s="48"/>
      <c r="J661" s="84" t="s">
        <v>1145</v>
      </c>
      <c r="K661" s="85"/>
      <c r="L661" s="47" t="s">
        <v>622</v>
      </c>
      <c r="M661" s="3">
        <v>2.4900000000000002</v>
      </c>
      <c r="N661" s="3">
        <f t="shared" ref="N661:N692" si="776">9.55-6.65</f>
        <v>2.9000000000000004</v>
      </c>
      <c r="O661" s="22">
        <v>0.155</v>
      </c>
      <c r="P661" s="23">
        <v>1</v>
      </c>
      <c r="Q661" s="3"/>
      <c r="R661" s="3"/>
      <c r="S661" s="3"/>
      <c r="T661" s="3"/>
      <c r="U661" s="3"/>
      <c r="V661" s="23"/>
      <c r="W661" s="3"/>
      <c r="X661" s="3"/>
      <c r="Y661" s="17"/>
      <c r="Z661" s="17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12">
        <f t="shared" si="764"/>
        <v>7.2210000000000019</v>
      </c>
      <c r="AL661" s="12">
        <f t="shared" si="765"/>
        <v>7.2210000000000019</v>
      </c>
      <c r="AM661" s="12">
        <f t="shared" si="766"/>
        <v>1.1192550000000003</v>
      </c>
      <c r="AN661" s="12">
        <f t="shared" si="767"/>
        <v>1.1192550000000003</v>
      </c>
      <c r="AO661" s="12" t="str">
        <f t="shared" si="768"/>
        <v/>
      </c>
      <c r="AP661" s="12">
        <f t="shared" si="769"/>
        <v>2.4900000000000002</v>
      </c>
      <c r="AQ661" s="12" t="str">
        <f t="shared" si="770"/>
        <v/>
      </c>
      <c r="AR661" s="12" t="str">
        <f t="shared" si="771"/>
        <v/>
      </c>
      <c r="AS661" s="12" t="str">
        <f t="shared" si="772"/>
        <v/>
      </c>
      <c r="AT661" s="12" t="str">
        <f t="shared" si="773"/>
        <v/>
      </c>
      <c r="AU661" s="12" t="str">
        <f t="shared" si="774"/>
        <v/>
      </c>
      <c r="AV661" s="17"/>
    </row>
    <row r="662" spans="1:48" x14ac:dyDescent="0.25">
      <c r="A662" s="43" t="s">
        <v>374</v>
      </c>
      <c r="B662" s="52" t="s">
        <v>883</v>
      </c>
      <c r="C662" s="44"/>
      <c r="D662" s="43"/>
      <c r="E662" s="52" t="s">
        <v>692</v>
      </c>
      <c r="F662" s="46"/>
      <c r="G662" s="76" t="s">
        <v>1027</v>
      </c>
      <c r="H662" s="48" t="s">
        <v>1107</v>
      </c>
      <c r="I662" s="48"/>
      <c r="J662" s="84" t="s">
        <v>1145</v>
      </c>
      <c r="K662" s="85"/>
      <c r="L662" s="47" t="s">
        <v>567</v>
      </c>
      <c r="M662" s="3">
        <v>2.65</v>
      </c>
      <c r="N662" s="3">
        <f t="shared" si="776"/>
        <v>2.9000000000000004</v>
      </c>
      <c r="O662" s="22">
        <v>0.38500000000000001</v>
      </c>
      <c r="P662" s="23">
        <v>1</v>
      </c>
      <c r="Q662" s="3"/>
      <c r="R662" s="3"/>
      <c r="S662" s="3"/>
      <c r="T662" s="3"/>
      <c r="U662" s="3"/>
      <c r="V662" s="23"/>
      <c r="W662" s="3"/>
      <c r="X662" s="3"/>
      <c r="Y662" s="17"/>
      <c r="Z662" s="17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12">
        <f t="shared" si="764"/>
        <v>7.6850000000000005</v>
      </c>
      <c r="AL662" s="12">
        <f t="shared" si="765"/>
        <v>7.6850000000000005</v>
      </c>
      <c r="AM662" s="12">
        <f t="shared" si="766"/>
        <v>2.9587250000000003</v>
      </c>
      <c r="AN662" s="12">
        <f t="shared" si="767"/>
        <v>2.9587250000000003</v>
      </c>
      <c r="AO662" s="12" t="str">
        <f t="shared" si="768"/>
        <v/>
      </c>
      <c r="AP662" s="12">
        <f t="shared" si="769"/>
        <v>2.65</v>
      </c>
      <c r="AQ662" s="12" t="str">
        <f t="shared" si="770"/>
        <v/>
      </c>
      <c r="AR662" s="12" t="str">
        <f t="shared" si="771"/>
        <v/>
      </c>
      <c r="AS662" s="12" t="str">
        <f t="shared" si="772"/>
        <v/>
      </c>
      <c r="AT662" s="12" t="str">
        <f t="shared" si="773"/>
        <v/>
      </c>
      <c r="AU662" s="12" t="str">
        <f t="shared" si="774"/>
        <v/>
      </c>
      <c r="AV662" s="17"/>
    </row>
    <row r="663" spans="1:48" x14ac:dyDescent="0.25">
      <c r="A663" s="43" t="s">
        <v>374</v>
      </c>
      <c r="B663" s="52" t="s">
        <v>883</v>
      </c>
      <c r="C663" s="44"/>
      <c r="D663" s="43"/>
      <c r="E663" s="52" t="s">
        <v>692</v>
      </c>
      <c r="F663" s="46"/>
      <c r="G663" s="76" t="s">
        <v>1028</v>
      </c>
      <c r="H663" s="48" t="s">
        <v>1103</v>
      </c>
      <c r="I663" s="48"/>
      <c r="J663" s="84" t="s">
        <v>1132</v>
      </c>
      <c r="K663" s="85"/>
      <c r="L663" s="47" t="s">
        <v>622</v>
      </c>
      <c r="M663" s="3">
        <v>1.155</v>
      </c>
      <c r="N663" s="3">
        <f t="shared" si="776"/>
        <v>2.9000000000000004</v>
      </c>
      <c r="O663" s="22">
        <v>0.20499999999999999</v>
      </c>
      <c r="P663" s="23">
        <v>1</v>
      </c>
      <c r="Q663" s="3"/>
      <c r="R663" s="3"/>
      <c r="S663" s="3"/>
      <c r="T663" s="3"/>
      <c r="U663" s="3"/>
      <c r="V663" s="23"/>
      <c r="W663" s="3"/>
      <c r="X663" s="3"/>
      <c r="Y663" s="17"/>
      <c r="Z663" s="17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12">
        <f t="shared" si="764"/>
        <v>3.3495000000000004</v>
      </c>
      <c r="AL663" s="12">
        <f t="shared" si="765"/>
        <v>3.3495000000000004</v>
      </c>
      <c r="AM663" s="12">
        <f t="shared" si="766"/>
        <v>0.68664750000000008</v>
      </c>
      <c r="AN663" s="12">
        <f t="shared" si="767"/>
        <v>0.68664750000000008</v>
      </c>
      <c r="AO663" s="12" t="str">
        <f t="shared" si="768"/>
        <v/>
      </c>
      <c r="AP663" s="12">
        <f t="shared" si="769"/>
        <v>1.155</v>
      </c>
      <c r="AQ663" s="12" t="str">
        <f t="shared" si="770"/>
        <v/>
      </c>
      <c r="AR663" s="12" t="str">
        <f t="shared" si="771"/>
        <v/>
      </c>
      <c r="AS663" s="12" t="str">
        <f t="shared" si="772"/>
        <v/>
      </c>
      <c r="AT663" s="12" t="str">
        <f t="shared" si="773"/>
        <v/>
      </c>
      <c r="AU663" s="12" t="str">
        <f t="shared" si="774"/>
        <v/>
      </c>
      <c r="AV663" s="17"/>
    </row>
    <row r="664" spans="1:48" x14ac:dyDescent="0.25">
      <c r="A664" s="43" t="s">
        <v>374</v>
      </c>
      <c r="B664" s="52" t="s">
        <v>884</v>
      </c>
      <c r="C664" s="44"/>
      <c r="D664" s="43"/>
      <c r="E664" s="52" t="s">
        <v>692</v>
      </c>
      <c r="F664" s="46"/>
      <c r="G664" s="76" t="s">
        <v>1029</v>
      </c>
      <c r="H664" s="48" t="s">
        <v>1103</v>
      </c>
      <c r="I664" s="48"/>
      <c r="J664" s="84" t="s">
        <v>1145</v>
      </c>
      <c r="K664" s="85"/>
      <c r="L664" s="47" t="s">
        <v>622</v>
      </c>
      <c r="M664" s="3">
        <f>0.155*2+2.5*2+0.265</f>
        <v>5.5749999999999993</v>
      </c>
      <c r="N664" s="3">
        <f t="shared" si="776"/>
        <v>2.9000000000000004</v>
      </c>
      <c r="O664" s="22">
        <v>0.20499999999999999</v>
      </c>
      <c r="P664" s="23">
        <v>1</v>
      </c>
      <c r="Q664" s="3"/>
      <c r="R664" s="3"/>
      <c r="S664" s="3"/>
      <c r="T664" s="3"/>
      <c r="U664" s="3"/>
      <c r="V664" s="23"/>
      <c r="W664" s="3"/>
      <c r="X664" s="3"/>
      <c r="Y664" s="17"/>
      <c r="Z664" s="17"/>
      <c r="AA664" s="3"/>
      <c r="AB664" s="3"/>
      <c r="AC664" s="3"/>
      <c r="AD664" s="3"/>
      <c r="AE664" s="3"/>
      <c r="AF664" s="3"/>
      <c r="AG664" s="3"/>
      <c r="AH664" s="3"/>
      <c r="AI664" s="3"/>
      <c r="AJ664" s="3"/>
      <c r="AK664" s="12">
        <f t="shared" si="764"/>
        <v>16.1675</v>
      </c>
      <c r="AL664" s="12">
        <f t="shared" si="765"/>
        <v>16.1675</v>
      </c>
      <c r="AM664" s="12">
        <f t="shared" si="766"/>
        <v>3.3143374999999997</v>
      </c>
      <c r="AN664" s="12">
        <f t="shared" si="767"/>
        <v>3.3143374999999997</v>
      </c>
      <c r="AO664" s="12" t="str">
        <f t="shared" si="768"/>
        <v/>
      </c>
      <c r="AP664" s="12">
        <f t="shared" si="769"/>
        <v>5.5749999999999993</v>
      </c>
      <c r="AQ664" s="12" t="str">
        <f t="shared" si="770"/>
        <v/>
      </c>
      <c r="AR664" s="12" t="str">
        <f t="shared" si="771"/>
        <v/>
      </c>
      <c r="AS664" s="12" t="str">
        <f t="shared" si="772"/>
        <v/>
      </c>
      <c r="AT664" s="12" t="str">
        <f t="shared" si="773"/>
        <v/>
      </c>
      <c r="AU664" s="12" t="str">
        <f t="shared" si="774"/>
        <v/>
      </c>
      <c r="AV664" s="17"/>
    </row>
    <row r="665" spans="1:48" x14ac:dyDescent="0.25">
      <c r="A665" s="43" t="s">
        <v>374</v>
      </c>
      <c r="B665" s="52" t="s">
        <v>885</v>
      </c>
      <c r="C665" s="44"/>
      <c r="D665" s="43"/>
      <c r="E665" s="52" t="s">
        <v>692</v>
      </c>
      <c r="F665" s="46"/>
      <c r="G665" s="76" t="s">
        <v>1030</v>
      </c>
      <c r="H665" s="48" t="s">
        <v>1104</v>
      </c>
      <c r="I665" s="48"/>
      <c r="J665" s="84" t="s">
        <v>1132</v>
      </c>
      <c r="K665" s="85"/>
      <c r="L665" s="47" t="s">
        <v>622</v>
      </c>
      <c r="M665" s="3">
        <f>2.15+0.205</f>
        <v>2.355</v>
      </c>
      <c r="N665" s="3">
        <f t="shared" si="776"/>
        <v>2.9000000000000004</v>
      </c>
      <c r="O665" s="22">
        <v>0.155</v>
      </c>
      <c r="P665" s="23">
        <v>1</v>
      </c>
      <c r="Q665" s="3"/>
      <c r="R665" s="3">
        <f t="shared" ref="R665:R681" si="777">1.1*2.17</f>
        <v>2.387</v>
      </c>
      <c r="S665" s="3"/>
      <c r="T665" s="3"/>
      <c r="U665" s="3"/>
      <c r="V665" s="23"/>
      <c r="W665" s="3"/>
      <c r="X665" s="3"/>
      <c r="Y665" s="17"/>
      <c r="Z665" s="17"/>
      <c r="AA665" s="3"/>
      <c r="AB665" s="3"/>
      <c r="AC665" s="3"/>
      <c r="AD665" s="3"/>
      <c r="AE665" s="3"/>
      <c r="AF665" s="3"/>
      <c r="AG665" s="3"/>
      <c r="AH665" s="3"/>
      <c r="AI665" s="3"/>
      <c r="AJ665" s="3"/>
      <c r="AK665" s="12">
        <f t="shared" si="764"/>
        <v>4.4425000000000008</v>
      </c>
      <c r="AL665" s="12">
        <f t="shared" si="765"/>
        <v>4.4425000000000008</v>
      </c>
      <c r="AM665" s="12">
        <f t="shared" si="766"/>
        <v>0.68858750000000013</v>
      </c>
      <c r="AN665" s="12">
        <f t="shared" si="767"/>
        <v>0.68858750000000013</v>
      </c>
      <c r="AO665" s="12" t="str">
        <f t="shared" si="768"/>
        <v/>
      </c>
      <c r="AP665" s="12">
        <f t="shared" si="769"/>
        <v>2.355</v>
      </c>
      <c r="AQ665" s="12" t="str">
        <f t="shared" si="770"/>
        <v/>
      </c>
      <c r="AR665" s="12" t="str">
        <f t="shared" si="771"/>
        <v/>
      </c>
      <c r="AS665" s="12" t="str">
        <f t="shared" si="772"/>
        <v/>
      </c>
      <c r="AT665" s="12" t="str">
        <f t="shared" si="773"/>
        <v/>
      </c>
      <c r="AU665" s="12" t="str">
        <f t="shared" si="774"/>
        <v/>
      </c>
      <c r="AV665" s="17"/>
    </row>
    <row r="666" spans="1:48" x14ac:dyDescent="0.25">
      <c r="A666" s="43" t="s">
        <v>374</v>
      </c>
      <c r="B666" s="52" t="s">
        <v>633</v>
      </c>
      <c r="C666" s="44"/>
      <c r="D666" s="43"/>
      <c r="E666" s="52" t="s">
        <v>692</v>
      </c>
      <c r="F666" s="46"/>
      <c r="G666" s="76" t="s">
        <v>1031</v>
      </c>
      <c r="H666" s="48" t="s">
        <v>1104</v>
      </c>
      <c r="I666" s="48"/>
      <c r="J666" s="84" t="s">
        <v>1132</v>
      </c>
      <c r="K666" s="85"/>
      <c r="L666" s="47" t="s">
        <v>622</v>
      </c>
      <c r="M666" s="3">
        <f>2.15+0.205</f>
        <v>2.355</v>
      </c>
      <c r="N666" s="3">
        <f t="shared" si="776"/>
        <v>2.9000000000000004</v>
      </c>
      <c r="O666" s="22">
        <v>0.155</v>
      </c>
      <c r="P666" s="23">
        <v>1</v>
      </c>
      <c r="Q666" s="3"/>
      <c r="R666" s="3">
        <f t="shared" si="777"/>
        <v>2.387</v>
      </c>
      <c r="S666" s="3"/>
      <c r="T666" s="3"/>
      <c r="U666" s="3"/>
      <c r="V666" s="23"/>
      <c r="W666" s="3"/>
      <c r="X666" s="3"/>
      <c r="Y666" s="17"/>
      <c r="Z666" s="17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12">
        <f t="shared" si="764"/>
        <v>4.4425000000000008</v>
      </c>
      <c r="AL666" s="12">
        <f t="shared" si="765"/>
        <v>4.4425000000000008</v>
      </c>
      <c r="AM666" s="12">
        <f t="shared" si="766"/>
        <v>0.68858750000000013</v>
      </c>
      <c r="AN666" s="12">
        <f t="shared" si="767"/>
        <v>0.68858750000000013</v>
      </c>
      <c r="AO666" s="12" t="str">
        <f t="shared" si="768"/>
        <v/>
      </c>
      <c r="AP666" s="12">
        <f t="shared" si="769"/>
        <v>2.355</v>
      </c>
      <c r="AQ666" s="12" t="str">
        <f t="shared" si="770"/>
        <v/>
      </c>
      <c r="AR666" s="12" t="str">
        <f t="shared" si="771"/>
        <v/>
      </c>
      <c r="AS666" s="12" t="str">
        <f t="shared" si="772"/>
        <v/>
      </c>
      <c r="AT666" s="12" t="str">
        <f t="shared" si="773"/>
        <v/>
      </c>
      <c r="AU666" s="12" t="str">
        <f t="shared" si="774"/>
        <v/>
      </c>
      <c r="AV666" s="17"/>
    </row>
    <row r="667" spans="1:48" x14ac:dyDescent="0.25">
      <c r="A667" s="43" t="s">
        <v>374</v>
      </c>
      <c r="B667" s="52" t="s">
        <v>891</v>
      </c>
      <c r="C667" s="44"/>
      <c r="D667" s="43"/>
      <c r="E667" s="52" t="s">
        <v>821</v>
      </c>
      <c r="F667" s="46"/>
      <c r="G667" s="76" t="s">
        <v>1032</v>
      </c>
      <c r="H667" s="48" t="s">
        <v>1093</v>
      </c>
      <c r="I667" s="48"/>
      <c r="J667" s="84" t="s">
        <v>1132</v>
      </c>
      <c r="K667" s="85"/>
      <c r="L667" s="47"/>
      <c r="M667" s="3">
        <v>1.51</v>
      </c>
      <c r="N667" s="3">
        <f t="shared" si="776"/>
        <v>2.9000000000000004</v>
      </c>
      <c r="O667" s="22">
        <v>0.1</v>
      </c>
      <c r="P667" s="23">
        <v>1</v>
      </c>
      <c r="Q667" s="3"/>
      <c r="R667" s="3">
        <f t="shared" si="777"/>
        <v>2.387</v>
      </c>
      <c r="S667" s="3"/>
      <c r="T667" s="3"/>
      <c r="U667" s="3"/>
      <c r="V667" s="23"/>
      <c r="W667" s="3"/>
      <c r="X667" s="3"/>
      <c r="Y667" s="17"/>
      <c r="Z667" s="17"/>
      <c r="AA667" s="3"/>
      <c r="AB667" s="3"/>
      <c r="AC667" s="3"/>
      <c r="AD667" s="3"/>
      <c r="AE667" s="3"/>
      <c r="AF667" s="3"/>
      <c r="AG667" s="3"/>
      <c r="AH667" s="3"/>
      <c r="AI667" s="3"/>
      <c r="AJ667" s="3"/>
      <c r="AK667" s="12">
        <f t="shared" si="764"/>
        <v>1.9920000000000004</v>
      </c>
      <c r="AL667" s="12">
        <f t="shared" si="765"/>
        <v>1.9920000000000004</v>
      </c>
      <c r="AM667" s="12">
        <f t="shared" si="766"/>
        <v>0.19920000000000004</v>
      </c>
      <c r="AN667" s="12">
        <f t="shared" si="767"/>
        <v>0.19920000000000004</v>
      </c>
      <c r="AO667" s="12" t="str">
        <f t="shared" si="768"/>
        <v/>
      </c>
      <c r="AP667" s="12">
        <f t="shared" si="769"/>
        <v>1.51</v>
      </c>
      <c r="AQ667" s="12" t="str">
        <f t="shared" si="770"/>
        <v/>
      </c>
      <c r="AR667" s="12" t="str">
        <f t="shared" si="771"/>
        <v/>
      </c>
      <c r="AS667" s="12" t="str">
        <f t="shared" si="772"/>
        <v/>
      </c>
      <c r="AT667" s="12" t="str">
        <f t="shared" si="773"/>
        <v/>
      </c>
      <c r="AU667" s="12" t="str">
        <f t="shared" si="774"/>
        <v/>
      </c>
      <c r="AV667" s="17"/>
    </row>
    <row r="668" spans="1:48" x14ac:dyDescent="0.25">
      <c r="A668" s="43" t="s">
        <v>374</v>
      </c>
      <c r="B668" s="52" t="s">
        <v>1153</v>
      </c>
      <c r="C668" s="44"/>
      <c r="D668" s="43"/>
      <c r="E668" s="52"/>
      <c r="F668" s="46"/>
      <c r="G668" s="76" t="s">
        <v>1160</v>
      </c>
      <c r="H668" s="48" t="s">
        <v>1104</v>
      </c>
      <c r="I668" s="48"/>
      <c r="J668" s="84" t="s">
        <v>1132</v>
      </c>
      <c r="K668" s="85"/>
      <c r="L668" s="47"/>
      <c r="M668" s="3">
        <v>1.155</v>
      </c>
      <c r="N668" s="3">
        <f t="shared" si="776"/>
        <v>2.9000000000000004</v>
      </c>
      <c r="O668" s="22">
        <v>0.155</v>
      </c>
      <c r="P668" s="23">
        <v>4</v>
      </c>
      <c r="Q668" s="3"/>
      <c r="R668" s="3"/>
      <c r="S668" s="3"/>
      <c r="T668" s="3"/>
      <c r="U668" s="3"/>
      <c r="V668" s="23"/>
      <c r="W668" s="3"/>
      <c r="X668" s="3"/>
      <c r="Y668" s="17"/>
      <c r="Z668" s="17"/>
      <c r="AA668" s="3"/>
      <c r="AB668" s="3"/>
      <c r="AC668" s="3"/>
      <c r="AD668" s="3"/>
      <c r="AE668" s="3"/>
      <c r="AF668" s="3"/>
      <c r="AG668" s="3"/>
      <c r="AH668" s="3"/>
      <c r="AI668" s="3"/>
      <c r="AJ668" s="3"/>
      <c r="AK668" s="12">
        <f t="shared" si="764"/>
        <v>3.3495000000000004</v>
      </c>
      <c r="AL668" s="12">
        <f t="shared" si="765"/>
        <v>13.398000000000001</v>
      </c>
      <c r="AM668" s="12">
        <f t="shared" si="766"/>
        <v>0.51917250000000004</v>
      </c>
      <c r="AN668" s="12">
        <f t="shared" si="767"/>
        <v>2.0766900000000001</v>
      </c>
      <c r="AO668" s="12" t="str">
        <f t="shared" si="768"/>
        <v/>
      </c>
      <c r="AP668" s="12">
        <f t="shared" si="769"/>
        <v>4.62</v>
      </c>
      <c r="AQ668" s="12" t="str">
        <f t="shared" si="770"/>
        <v/>
      </c>
      <c r="AR668" s="12" t="str">
        <f t="shared" si="771"/>
        <v/>
      </c>
      <c r="AS668" s="12" t="str">
        <f t="shared" si="772"/>
        <v/>
      </c>
      <c r="AT668" s="12" t="str">
        <f t="shared" si="773"/>
        <v/>
      </c>
      <c r="AU668" s="12" t="str">
        <f t="shared" si="774"/>
        <v/>
      </c>
      <c r="AV668" s="17"/>
    </row>
    <row r="669" spans="1:48" x14ac:dyDescent="0.25">
      <c r="A669" s="43" t="s">
        <v>374</v>
      </c>
      <c r="B669" s="52" t="s">
        <v>854</v>
      </c>
      <c r="C669" s="44"/>
      <c r="D669" s="43"/>
      <c r="E669" s="52" t="s">
        <v>843</v>
      </c>
      <c r="F669" s="46"/>
      <c r="G669" s="76" t="s">
        <v>1033</v>
      </c>
      <c r="H669" s="48" t="s">
        <v>1093</v>
      </c>
      <c r="I669" s="48"/>
      <c r="J669" s="84" t="s">
        <v>1132</v>
      </c>
      <c r="K669" s="85"/>
      <c r="L669" s="47"/>
      <c r="M669" s="3">
        <v>1.51</v>
      </c>
      <c r="N669" s="3">
        <f t="shared" si="776"/>
        <v>2.9000000000000004</v>
      </c>
      <c r="O669" s="22">
        <v>0.1</v>
      </c>
      <c r="P669" s="23">
        <v>1</v>
      </c>
      <c r="Q669" s="3"/>
      <c r="R669" s="3">
        <f t="shared" si="777"/>
        <v>2.387</v>
      </c>
      <c r="S669" s="3"/>
      <c r="T669" s="3"/>
      <c r="U669" s="3"/>
      <c r="V669" s="23"/>
      <c r="W669" s="3"/>
      <c r="X669" s="3"/>
      <c r="Y669" s="17"/>
      <c r="Z669" s="17"/>
      <c r="AA669" s="3"/>
      <c r="AB669" s="3"/>
      <c r="AC669" s="3"/>
      <c r="AD669" s="3"/>
      <c r="AE669" s="3"/>
      <c r="AF669" s="3"/>
      <c r="AG669" s="3"/>
      <c r="AH669" s="3"/>
      <c r="AI669" s="3"/>
      <c r="AJ669" s="3"/>
      <c r="AK669" s="12">
        <f t="shared" si="764"/>
        <v>1.9920000000000004</v>
      </c>
      <c r="AL669" s="12">
        <f t="shared" si="765"/>
        <v>1.9920000000000004</v>
      </c>
      <c r="AM669" s="12">
        <f t="shared" si="766"/>
        <v>0.19920000000000004</v>
      </c>
      <c r="AN669" s="12">
        <f t="shared" si="767"/>
        <v>0.19920000000000004</v>
      </c>
      <c r="AO669" s="12" t="str">
        <f t="shared" si="768"/>
        <v/>
      </c>
      <c r="AP669" s="12">
        <f t="shared" si="769"/>
        <v>1.51</v>
      </c>
      <c r="AQ669" s="12" t="str">
        <f t="shared" si="770"/>
        <v/>
      </c>
      <c r="AR669" s="12" t="str">
        <f t="shared" si="771"/>
        <v/>
      </c>
      <c r="AS669" s="12" t="str">
        <f t="shared" si="772"/>
        <v/>
      </c>
      <c r="AT669" s="12" t="str">
        <f t="shared" si="773"/>
        <v/>
      </c>
      <c r="AU669" s="12" t="str">
        <f t="shared" si="774"/>
        <v/>
      </c>
      <c r="AV669" s="17"/>
    </row>
    <row r="670" spans="1:48" x14ac:dyDescent="0.25">
      <c r="A670" s="43" t="s">
        <v>374</v>
      </c>
      <c r="B670" s="52" t="s">
        <v>876</v>
      </c>
      <c r="C670" s="44"/>
      <c r="D670" s="43"/>
      <c r="E670" s="52" t="s">
        <v>844</v>
      </c>
      <c r="F670" s="46"/>
      <c r="G670" s="76" t="s">
        <v>1034</v>
      </c>
      <c r="H670" s="48" t="s">
        <v>1093</v>
      </c>
      <c r="I670" s="48"/>
      <c r="J670" s="84" t="s">
        <v>1132</v>
      </c>
      <c r="K670" s="85"/>
      <c r="L670" s="47"/>
      <c r="M670" s="3">
        <v>1.51</v>
      </c>
      <c r="N670" s="3">
        <f t="shared" si="776"/>
        <v>2.9000000000000004</v>
      </c>
      <c r="O670" s="22">
        <v>0.1</v>
      </c>
      <c r="P670" s="23">
        <v>1</v>
      </c>
      <c r="Q670" s="3"/>
      <c r="R670" s="3">
        <f t="shared" si="777"/>
        <v>2.387</v>
      </c>
      <c r="S670" s="3"/>
      <c r="T670" s="3"/>
      <c r="U670" s="3"/>
      <c r="V670" s="23"/>
      <c r="W670" s="3"/>
      <c r="X670" s="3"/>
      <c r="Y670" s="17"/>
      <c r="Z670" s="17"/>
      <c r="AA670" s="3"/>
      <c r="AB670" s="3"/>
      <c r="AC670" s="3"/>
      <c r="AD670" s="3"/>
      <c r="AE670" s="3"/>
      <c r="AF670" s="3"/>
      <c r="AG670" s="3"/>
      <c r="AH670" s="3"/>
      <c r="AI670" s="3"/>
      <c r="AJ670" s="3"/>
      <c r="AK670" s="12">
        <f t="shared" ref="AK670" si="778">IF(((M670*N670)-Q670-R670-S670+T670+U670)=0,"",((M670*N670)-Q670-R670-S670+T670+U670))</f>
        <v>1.9920000000000004</v>
      </c>
      <c r="AL670" s="12">
        <f t="shared" ref="AL670" si="779">IF(PRODUCT(P670,AK670)=0,"",P670*AK670)</f>
        <v>1.9920000000000004</v>
      </c>
      <c r="AM670" s="12">
        <f t="shared" ref="AM670" si="780">IF(PRODUCT(AK670,O670)=0,"",AK670*O670)</f>
        <v>0.19920000000000004</v>
      </c>
      <c r="AN670" s="12">
        <f t="shared" ref="AN670" si="781">IF(PRODUCT(AM670,P670)=0,"",AM670*P670)</f>
        <v>0.19920000000000004</v>
      </c>
      <c r="AO670" s="12" t="str">
        <f t="shared" ref="AO670" si="782">IF(N670*V670-W670+X670=0,"",N670*V670-W670+X670)</f>
        <v/>
      </c>
      <c r="AP670" s="12">
        <f t="shared" ref="AP670" si="783">IF(PRODUCT(M670,P670)=0,"",M670*P670)</f>
        <v>1.51</v>
      </c>
      <c r="AQ670" s="12" t="str">
        <f t="shared" ref="AQ670" si="784">IF(AA670+AB670=0,"",AA670+AB670)</f>
        <v/>
      </c>
      <c r="AR670" s="12" t="str">
        <f t="shared" ref="AR670" si="785">IF(AC670+AD670=0,"",AC670+AD670)</f>
        <v/>
      </c>
      <c r="AS670" s="12" t="str">
        <f t="shared" ref="AS670" si="786">IF((AE670*AH670*AI670)*P670=0,"",(AE670*AH670*AI670)*P670)</f>
        <v/>
      </c>
      <c r="AT670" s="12" t="str">
        <f t="shared" ref="AT670" si="787">IF(AJ670*P670=0,"",AJ670*P670)</f>
        <v/>
      </c>
      <c r="AU670" s="12" t="str">
        <f t="shared" ref="AU670:AU716" si="788">IF(OR(H670="s1",H670="s2",H670="s3",H670="s4",H670="s4*",H670="s5",H670="s12",H670="s16"),IF(M670&gt;=4,M670,""),"")</f>
        <v/>
      </c>
      <c r="AV670" s="17"/>
    </row>
    <row r="671" spans="1:48" x14ac:dyDescent="0.25">
      <c r="A671" s="43" t="s">
        <v>374</v>
      </c>
      <c r="B671" s="52" t="s">
        <v>877</v>
      </c>
      <c r="C671" s="44"/>
      <c r="D671" s="43"/>
      <c r="E671" s="52" t="s">
        <v>845</v>
      </c>
      <c r="F671" s="46"/>
      <c r="G671" s="76" t="s">
        <v>1035</v>
      </c>
      <c r="H671" s="48" t="s">
        <v>1093</v>
      </c>
      <c r="I671" s="48"/>
      <c r="J671" s="84" t="s">
        <v>1132</v>
      </c>
      <c r="K671" s="85"/>
      <c r="L671" s="47"/>
      <c r="M671" s="3">
        <v>1.51</v>
      </c>
      <c r="N671" s="3">
        <f t="shared" si="776"/>
        <v>2.9000000000000004</v>
      </c>
      <c r="O671" s="22">
        <v>0.1</v>
      </c>
      <c r="P671" s="23">
        <v>1</v>
      </c>
      <c r="Q671" s="3"/>
      <c r="R671" s="3">
        <f t="shared" si="777"/>
        <v>2.387</v>
      </c>
      <c r="S671" s="3"/>
      <c r="T671" s="3"/>
      <c r="U671" s="3"/>
      <c r="V671" s="23"/>
      <c r="W671" s="3"/>
      <c r="X671" s="3"/>
      <c r="Y671" s="17"/>
      <c r="Z671" s="17"/>
      <c r="AA671" s="3"/>
      <c r="AB671" s="3"/>
      <c r="AC671" s="3"/>
      <c r="AD671" s="3"/>
      <c r="AE671" s="3"/>
      <c r="AF671" s="3"/>
      <c r="AG671" s="3"/>
      <c r="AH671" s="3"/>
      <c r="AI671" s="3"/>
      <c r="AJ671" s="3"/>
      <c r="AK671" s="12">
        <f t="shared" si="753"/>
        <v>1.9920000000000004</v>
      </c>
      <c r="AL671" s="12">
        <f t="shared" si="754"/>
        <v>1.9920000000000004</v>
      </c>
      <c r="AM671" s="12">
        <f t="shared" si="755"/>
        <v>0.19920000000000004</v>
      </c>
      <c r="AN671" s="12">
        <f t="shared" si="756"/>
        <v>0.19920000000000004</v>
      </c>
      <c r="AO671" s="12" t="str">
        <f t="shared" si="757"/>
        <v/>
      </c>
      <c r="AP671" s="12">
        <f t="shared" si="758"/>
        <v>1.51</v>
      </c>
      <c r="AQ671" s="12" t="str">
        <f t="shared" si="759"/>
        <v/>
      </c>
      <c r="AR671" s="12" t="str">
        <f t="shared" si="760"/>
        <v/>
      </c>
      <c r="AS671" s="12" t="str">
        <f t="shared" si="761"/>
        <v/>
      </c>
      <c r="AT671" s="12" t="str">
        <f t="shared" si="762"/>
        <v/>
      </c>
      <c r="AU671" s="12" t="str">
        <f t="shared" si="788"/>
        <v/>
      </c>
      <c r="AV671" s="17"/>
    </row>
    <row r="672" spans="1:48" x14ac:dyDescent="0.25">
      <c r="A672" s="43" t="s">
        <v>374</v>
      </c>
      <c r="B672" s="52" t="s">
        <v>892</v>
      </c>
      <c r="C672" s="44"/>
      <c r="D672" s="43"/>
      <c r="E672" s="52" t="s">
        <v>847</v>
      </c>
      <c r="F672" s="46"/>
      <c r="G672" s="76" t="s">
        <v>1036</v>
      </c>
      <c r="H672" s="48" t="s">
        <v>1093</v>
      </c>
      <c r="I672" s="48"/>
      <c r="J672" s="84" t="s">
        <v>1132</v>
      </c>
      <c r="K672" s="85"/>
      <c r="L672" s="47"/>
      <c r="M672" s="3">
        <v>1.51</v>
      </c>
      <c r="N672" s="3">
        <f t="shared" si="776"/>
        <v>2.9000000000000004</v>
      </c>
      <c r="O672" s="22">
        <v>0.1</v>
      </c>
      <c r="P672" s="23">
        <v>1</v>
      </c>
      <c r="Q672" s="3"/>
      <c r="R672" s="3">
        <f t="shared" si="777"/>
        <v>2.387</v>
      </c>
      <c r="S672" s="3"/>
      <c r="T672" s="3"/>
      <c r="U672" s="3"/>
      <c r="V672" s="23"/>
      <c r="W672" s="3"/>
      <c r="X672" s="3"/>
      <c r="Y672" s="17"/>
      <c r="Z672" s="17"/>
      <c r="AA672" s="3"/>
      <c r="AB672" s="3"/>
      <c r="AC672" s="3"/>
      <c r="AD672" s="3"/>
      <c r="AE672" s="3"/>
      <c r="AF672" s="3"/>
      <c r="AG672" s="3"/>
      <c r="AH672" s="3"/>
      <c r="AI672" s="3"/>
      <c r="AJ672" s="3"/>
      <c r="AK672" s="12">
        <f t="shared" ref="AK672:AK682" si="789">IF(((M672*N672)-Q672-R672-S672+T672+U672)=0,"",((M672*N672)-Q672-R672-S672+T672+U672))</f>
        <v>1.9920000000000004</v>
      </c>
      <c r="AL672" s="12">
        <f t="shared" ref="AL672:AL682" si="790">IF(PRODUCT(P672,AK672)=0,"",P672*AK672)</f>
        <v>1.9920000000000004</v>
      </c>
      <c r="AM672" s="12">
        <f t="shared" ref="AM672:AM682" si="791">IF(PRODUCT(AK672,O672)=0,"",AK672*O672)</f>
        <v>0.19920000000000004</v>
      </c>
      <c r="AN672" s="12">
        <f t="shared" ref="AN672:AN682" si="792">IF(PRODUCT(AM672,P672)=0,"",AM672*P672)</f>
        <v>0.19920000000000004</v>
      </c>
      <c r="AO672" s="12" t="str">
        <f t="shared" ref="AO672:AO682" si="793">IF(N672*V672-W672+X672=0,"",N672*V672-W672+X672)</f>
        <v/>
      </c>
      <c r="AP672" s="12">
        <f t="shared" ref="AP672:AP682" si="794">IF(PRODUCT(M672,P672)=0,"",M672*P672)</f>
        <v>1.51</v>
      </c>
      <c r="AQ672" s="12" t="str">
        <f t="shared" ref="AQ672:AQ682" si="795">IF(AA672+AB672=0,"",AA672+AB672)</f>
        <v/>
      </c>
      <c r="AR672" s="12" t="str">
        <f t="shared" ref="AR672:AR682" si="796">IF(AC672+AD672=0,"",AC672+AD672)</f>
        <v/>
      </c>
      <c r="AS672" s="12" t="str">
        <f t="shared" ref="AS672:AS682" si="797">IF((AE672*AH672*AI672)*P672=0,"",(AE672*AH672*AI672)*P672)</f>
        <v/>
      </c>
      <c r="AT672" s="12" t="str">
        <f t="shared" ref="AT672:AT682" si="798">IF(AJ672*P672=0,"",AJ672*P672)</f>
        <v/>
      </c>
      <c r="AU672" s="12" t="str">
        <f t="shared" ref="AU672:AU682" si="799">IF(OR(H672="s1",H672="s2",H672="s3",H672="s4",H672="s4*",H672="s5",H672="s12",H672="s16"),IF(M672&gt;=4,M672,""),"")</f>
        <v/>
      </c>
      <c r="AV672" s="17"/>
    </row>
    <row r="673" spans="1:48" x14ac:dyDescent="0.25">
      <c r="A673" s="43" t="s">
        <v>374</v>
      </c>
      <c r="B673" s="52" t="s">
        <v>692</v>
      </c>
      <c r="C673" s="44"/>
      <c r="D673" s="43"/>
      <c r="E673" s="52"/>
      <c r="F673" s="46"/>
      <c r="G673" s="76" t="s">
        <v>1161</v>
      </c>
      <c r="H673" s="48" t="s">
        <v>1104</v>
      </c>
      <c r="I673" s="48"/>
      <c r="J673" s="84" t="s">
        <v>1132</v>
      </c>
      <c r="K673" s="85"/>
      <c r="L673" s="47"/>
      <c r="M673" s="3">
        <v>1.155</v>
      </c>
      <c r="N673" s="3">
        <f t="shared" si="776"/>
        <v>2.9000000000000004</v>
      </c>
      <c r="O673" s="22">
        <v>0.155</v>
      </c>
      <c r="P673" s="23">
        <v>2</v>
      </c>
      <c r="Q673" s="3"/>
      <c r="R673" s="3"/>
      <c r="S673" s="3"/>
      <c r="T673" s="3"/>
      <c r="U673" s="3"/>
      <c r="V673" s="23"/>
      <c r="W673" s="3"/>
      <c r="X673" s="3"/>
      <c r="Y673" s="17"/>
      <c r="Z673" s="17"/>
      <c r="AA673" s="3"/>
      <c r="AB673" s="3"/>
      <c r="AC673" s="3"/>
      <c r="AD673" s="3"/>
      <c r="AE673" s="3"/>
      <c r="AF673" s="3"/>
      <c r="AG673" s="3"/>
      <c r="AH673" s="3"/>
      <c r="AI673" s="3"/>
      <c r="AJ673" s="3"/>
      <c r="AK673" s="12">
        <f t="shared" si="789"/>
        <v>3.3495000000000004</v>
      </c>
      <c r="AL673" s="12">
        <f t="shared" si="790"/>
        <v>6.6990000000000007</v>
      </c>
      <c r="AM673" s="12">
        <f t="shared" si="791"/>
        <v>0.51917250000000004</v>
      </c>
      <c r="AN673" s="12">
        <f t="shared" si="792"/>
        <v>1.0383450000000001</v>
      </c>
      <c r="AO673" s="12" t="str">
        <f t="shared" si="793"/>
        <v/>
      </c>
      <c r="AP673" s="12">
        <f t="shared" si="794"/>
        <v>2.31</v>
      </c>
      <c r="AQ673" s="12" t="str">
        <f t="shared" si="795"/>
        <v/>
      </c>
      <c r="AR673" s="12" t="str">
        <f t="shared" si="796"/>
        <v/>
      </c>
      <c r="AS673" s="12" t="str">
        <f t="shared" si="797"/>
        <v/>
      </c>
      <c r="AT673" s="12" t="str">
        <f t="shared" si="798"/>
        <v/>
      </c>
      <c r="AU673" s="12" t="str">
        <f t="shared" si="799"/>
        <v/>
      </c>
      <c r="AV673" s="17"/>
    </row>
    <row r="674" spans="1:48" x14ac:dyDescent="0.25">
      <c r="A674" s="43" t="s">
        <v>374</v>
      </c>
      <c r="B674" s="52" t="s">
        <v>893</v>
      </c>
      <c r="C674" s="44"/>
      <c r="D674" s="43"/>
      <c r="E674" s="52" t="s">
        <v>848</v>
      </c>
      <c r="F674" s="46"/>
      <c r="G674" s="76" t="s">
        <v>1037</v>
      </c>
      <c r="H674" s="48" t="s">
        <v>1093</v>
      </c>
      <c r="I674" s="48"/>
      <c r="J674" s="84" t="s">
        <v>1132</v>
      </c>
      <c r="K674" s="85"/>
      <c r="L674" s="47"/>
      <c r="M674" s="3">
        <v>1.51</v>
      </c>
      <c r="N674" s="3">
        <f t="shared" si="776"/>
        <v>2.9000000000000004</v>
      </c>
      <c r="O674" s="22">
        <v>0.1</v>
      </c>
      <c r="P674" s="23">
        <v>1</v>
      </c>
      <c r="Q674" s="3"/>
      <c r="R674" s="3">
        <f t="shared" si="777"/>
        <v>2.387</v>
      </c>
      <c r="S674" s="3"/>
      <c r="T674" s="3"/>
      <c r="U674" s="3"/>
      <c r="V674" s="23"/>
      <c r="W674" s="3"/>
      <c r="X674" s="3"/>
      <c r="Y674" s="17"/>
      <c r="Z674" s="17"/>
      <c r="AA674" s="3"/>
      <c r="AB674" s="3"/>
      <c r="AC674" s="3"/>
      <c r="AD674" s="3"/>
      <c r="AE674" s="3"/>
      <c r="AF674" s="3"/>
      <c r="AG674" s="3"/>
      <c r="AH674" s="3"/>
      <c r="AI674" s="3"/>
      <c r="AJ674" s="3"/>
      <c r="AK674" s="12">
        <f t="shared" si="789"/>
        <v>1.9920000000000004</v>
      </c>
      <c r="AL674" s="12">
        <f t="shared" si="790"/>
        <v>1.9920000000000004</v>
      </c>
      <c r="AM674" s="12">
        <f t="shared" si="791"/>
        <v>0.19920000000000004</v>
      </c>
      <c r="AN674" s="12">
        <f t="shared" si="792"/>
        <v>0.19920000000000004</v>
      </c>
      <c r="AO674" s="12" t="str">
        <f t="shared" si="793"/>
        <v/>
      </c>
      <c r="AP674" s="12">
        <f t="shared" si="794"/>
        <v>1.51</v>
      </c>
      <c r="AQ674" s="12" t="str">
        <f t="shared" si="795"/>
        <v/>
      </c>
      <c r="AR674" s="12" t="str">
        <f t="shared" si="796"/>
        <v/>
      </c>
      <c r="AS674" s="12" t="str">
        <f t="shared" si="797"/>
        <v/>
      </c>
      <c r="AT674" s="12" t="str">
        <f t="shared" si="798"/>
        <v/>
      </c>
      <c r="AU674" s="12" t="str">
        <f t="shared" si="799"/>
        <v/>
      </c>
      <c r="AV674" s="17"/>
    </row>
    <row r="675" spans="1:48" x14ac:dyDescent="0.25">
      <c r="A675" s="43" t="s">
        <v>374</v>
      </c>
      <c r="B675" s="52" t="s">
        <v>894</v>
      </c>
      <c r="C675" s="44"/>
      <c r="D675" s="43"/>
      <c r="E675" s="52" t="s">
        <v>850</v>
      </c>
      <c r="F675" s="46"/>
      <c r="G675" s="76" t="s">
        <v>1038</v>
      </c>
      <c r="H675" s="48" t="s">
        <v>1093</v>
      </c>
      <c r="I675" s="48"/>
      <c r="J675" s="84" t="s">
        <v>1132</v>
      </c>
      <c r="K675" s="85"/>
      <c r="L675" s="47"/>
      <c r="M675" s="3">
        <f>2.15+0.205</f>
        <v>2.355</v>
      </c>
      <c r="N675" s="3">
        <f t="shared" si="776"/>
        <v>2.9000000000000004</v>
      </c>
      <c r="O675" s="22">
        <v>0.1</v>
      </c>
      <c r="P675" s="23">
        <v>1</v>
      </c>
      <c r="Q675" s="3"/>
      <c r="R675" s="3">
        <f t="shared" si="777"/>
        <v>2.387</v>
      </c>
      <c r="S675" s="3"/>
      <c r="T675" s="3"/>
      <c r="U675" s="3"/>
      <c r="V675" s="23"/>
      <c r="W675" s="3"/>
      <c r="X675" s="3"/>
      <c r="Y675" s="17"/>
      <c r="Z675" s="17"/>
      <c r="AA675" s="3"/>
      <c r="AB675" s="3"/>
      <c r="AC675" s="3"/>
      <c r="AD675" s="3"/>
      <c r="AE675" s="3"/>
      <c r="AF675" s="3"/>
      <c r="AG675" s="3"/>
      <c r="AH675" s="3"/>
      <c r="AI675" s="3"/>
      <c r="AJ675" s="3"/>
      <c r="AK675" s="12">
        <f t="shared" si="789"/>
        <v>4.4425000000000008</v>
      </c>
      <c r="AL675" s="12">
        <f t="shared" si="790"/>
        <v>4.4425000000000008</v>
      </c>
      <c r="AM675" s="12">
        <f t="shared" si="791"/>
        <v>0.44425000000000009</v>
      </c>
      <c r="AN675" s="12">
        <f t="shared" si="792"/>
        <v>0.44425000000000009</v>
      </c>
      <c r="AO675" s="12" t="str">
        <f t="shared" si="793"/>
        <v/>
      </c>
      <c r="AP675" s="12">
        <f t="shared" si="794"/>
        <v>2.355</v>
      </c>
      <c r="AQ675" s="12" t="str">
        <f t="shared" si="795"/>
        <v/>
      </c>
      <c r="AR675" s="12" t="str">
        <f t="shared" si="796"/>
        <v/>
      </c>
      <c r="AS675" s="12" t="str">
        <f t="shared" si="797"/>
        <v/>
      </c>
      <c r="AT675" s="12" t="str">
        <f t="shared" si="798"/>
        <v/>
      </c>
      <c r="AU675" s="12" t="str">
        <f t="shared" si="799"/>
        <v/>
      </c>
      <c r="AV675" s="17"/>
    </row>
    <row r="676" spans="1:48" x14ac:dyDescent="0.25">
      <c r="A676" s="43" t="s">
        <v>374</v>
      </c>
      <c r="B676" s="52" t="s">
        <v>895</v>
      </c>
      <c r="C676" s="44"/>
      <c r="D676" s="43"/>
      <c r="E676" s="52" t="s">
        <v>851</v>
      </c>
      <c r="F676" s="46"/>
      <c r="G676" s="76" t="s">
        <v>1039</v>
      </c>
      <c r="H676" s="48" t="s">
        <v>1093</v>
      </c>
      <c r="I676" s="48"/>
      <c r="J676" s="84" t="s">
        <v>1132</v>
      </c>
      <c r="K676" s="85"/>
      <c r="L676" s="47"/>
      <c r="M676" s="3">
        <v>1.51</v>
      </c>
      <c r="N676" s="3">
        <f t="shared" si="776"/>
        <v>2.9000000000000004</v>
      </c>
      <c r="O676" s="22">
        <v>0.1</v>
      </c>
      <c r="P676" s="23">
        <v>1</v>
      </c>
      <c r="Q676" s="3"/>
      <c r="R676" s="3">
        <f t="shared" si="777"/>
        <v>2.387</v>
      </c>
      <c r="S676" s="3"/>
      <c r="T676" s="3"/>
      <c r="U676" s="3"/>
      <c r="V676" s="23"/>
      <c r="W676" s="3"/>
      <c r="X676" s="3"/>
      <c r="Y676" s="17"/>
      <c r="Z676" s="17"/>
      <c r="AA676" s="3"/>
      <c r="AB676" s="3"/>
      <c r="AC676" s="3"/>
      <c r="AD676" s="3"/>
      <c r="AE676" s="3"/>
      <c r="AF676" s="3"/>
      <c r="AG676" s="3"/>
      <c r="AH676" s="3"/>
      <c r="AI676" s="3"/>
      <c r="AJ676" s="3"/>
      <c r="AK676" s="12">
        <f t="shared" si="789"/>
        <v>1.9920000000000004</v>
      </c>
      <c r="AL676" s="12">
        <f t="shared" si="790"/>
        <v>1.9920000000000004</v>
      </c>
      <c r="AM676" s="12">
        <f t="shared" si="791"/>
        <v>0.19920000000000004</v>
      </c>
      <c r="AN676" s="12">
        <f t="shared" si="792"/>
        <v>0.19920000000000004</v>
      </c>
      <c r="AO676" s="12" t="str">
        <f t="shared" si="793"/>
        <v/>
      </c>
      <c r="AP676" s="12">
        <f t="shared" si="794"/>
        <v>1.51</v>
      </c>
      <c r="AQ676" s="12" t="str">
        <f t="shared" si="795"/>
        <v/>
      </c>
      <c r="AR676" s="12" t="str">
        <f t="shared" si="796"/>
        <v/>
      </c>
      <c r="AS676" s="12" t="str">
        <f t="shared" si="797"/>
        <v/>
      </c>
      <c r="AT676" s="12" t="str">
        <f t="shared" si="798"/>
        <v/>
      </c>
      <c r="AU676" s="12" t="str">
        <f t="shared" si="799"/>
        <v/>
      </c>
      <c r="AV676" s="17"/>
    </row>
    <row r="677" spans="1:48" x14ac:dyDescent="0.25">
      <c r="A677" s="43" t="s">
        <v>374</v>
      </c>
      <c r="B677" s="52" t="s">
        <v>692</v>
      </c>
      <c r="C677" s="44"/>
      <c r="D677" s="43"/>
      <c r="E677" s="52"/>
      <c r="F677" s="46"/>
      <c r="G677" s="76" t="s">
        <v>1162</v>
      </c>
      <c r="H677" s="48" t="s">
        <v>1104</v>
      </c>
      <c r="I677" s="48"/>
      <c r="J677" s="84" t="s">
        <v>1132</v>
      </c>
      <c r="K677" s="85"/>
      <c r="L677" s="47"/>
      <c r="M677" s="3">
        <v>1.155</v>
      </c>
      <c r="N677" s="3">
        <f t="shared" si="776"/>
        <v>2.9000000000000004</v>
      </c>
      <c r="O677" s="22">
        <v>0.155</v>
      </c>
      <c r="P677" s="23">
        <v>4</v>
      </c>
      <c r="Q677" s="3"/>
      <c r="R677" s="3"/>
      <c r="S677" s="3"/>
      <c r="T677" s="3"/>
      <c r="U677" s="3"/>
      <c r="V677" s="23"/>
      <c r="W677" s="3"/>
      <c r="X677" s="3"/>
      <c r="Y677" s="17"/>
      <c r="Z677" s="17"/>
      <c r="AA677" s="3"/>
      <c r="AB677" s="3"/>
      <c r="AC677" s="3"/>
      <c r="AD677" s="3"/>
      <c r="AE677" s="3"/>
      <c r="AF677" s="3"/>
      <c r="AG677" s="3"/>
      <c r="AH677" s="3"/>
      <c r="AI677" s="3"/>
      <c r="AJ677" s="3"/>
      <c r="AK677" s="12">
        <f t="shared" si="789"/>
        <v>3.3495000000000004</v>
      </c>
      <c r="AL677" s="12">
        <f t="shared" si="790"/>
        <v>13.398000000000001</v>
      </c>
      <c r="AM677" s="12">
        <f t="shared" si="791"/>
        <v>0.51917250000000004</v>
      </c>
      <c r="AN677" s="12">
        <f t="shared" si="792"/>
        <v>2.0766900000000001</v>
      </c>
      <c r="AO677" s="12" t="str">
        <f t="shared" si="793"/>
        <v/>
      </c>
      <c r="AP677" s="12">
        <f t="shared" si="794"/>
        <v>4.62</v>
      </c>
      <c r="AQ677" s="12" t="str">
        <f t="shared" si="795"/>
        <v/>
      </c>
      <c r="AR677" s="12" t="str">
        <f t="shared" si="796"/>
        <v/>
      </c>
      <c r="AS677" s="12" t="str">
        <f t="shared" si="797"/>
        <v/>
      </c>
      <c r="AT677" s="12" t="str">
        <f t="shared" si="798"/>
        <v/>
      </c>
      <c r="AU677" s="12" t="str">
        <f t="shared" si="799"/>
        <v/>
      </c>
      <c r="AV677" s="17"/>
    </row>
    <row r="678" spans="1:48" x14ac:dyDescent="0.25">
      <c r="A678" s="43" t="s">
        <v>374</v>
      </c>
      <c r="B678" s="52" t="s">
        <v>896</v>
      </c>
      <c r="C678" s="44"/>
      <c r="D678" s="43"/>
      <c r="E678" s="52" t="s">
        <v>852</v>
      </c>
      <c r="F678" s="46"/>
      <c r="G678" s="76" t="s">
        <v>1040</v>
      </c>
      <c r="H678" s="48" t="s">
        <v>1093</v>
      </c>
      <c r="I678" s="48"/>
      <c r="J678" s="84" t="s">
        <v>1132</v>
      </c>
      <c r="K678" s="85"/>
      <c r="L678" s="47"/>
      <c r="M678" s="3">
        <v>1.51</v>
      </c>
      <c r="N678" s="3">
        <f t="shared" si="776"/>
        <v>2.9000000000000004</v>
      </c>
      <c r="O678" s="22">
        <v>0.1</v>
      </c>
      <c r="P678" s="23">
        <v>1</v>
      </c>
      <c r="Q678" s="3"/>
      <c r="R678" s="3">
        <f t="shared" si="777"/>
        <v>2.387</v>
      </c>
      <c r="S678" s="3"/>
      <c r="T678" s="3"/>
      <c r="U678" s="3"/>
      <c r="V678" s="23"/>
      <c r="W678" s="3"/>
      <c r="X678" s="3"/>
      <c r="Y678" s="17"/>
      <c r="Z678" s="17"/>
      <c r="AA678" s="3"/>
      <c r="AB678" s="3"/>
      <c r="AC678" s="3"/>
      <c r="AD678" s="3"/>
      <c r="AE678" s="3"/>
      <c r="AF678" s="3"/>
      <c r="AG678" s="3"/>
      <c r="AH678" s="3"/>
      <c r="AI678" s="3"/>
      <c r="AJ678" s="3"/>
      <c r="AK678" s="12">
        <f t="shared" si="789"/>
        <v>1.9920000000000004</v>
      </c>
      <c r="AL678" s="12">
        <f t="shared" si="790"/>
        <v>1.9920000000000004</v>
      </c>
      <c r="AM678" s="12">
        <f t="shared" si="791"/>
        <v>0.19920000000000004</v>
      </c>
      <c r="AN678" s="12">
        <f t="shared" si="792"/>
        <v>0.19920000000000004</v>
      </c>
      <c r="AO678" s="12" t="str">
        <f t="shared" si="793"/>
        <v/>
      </c>
      <c r="AP678" s="12">
        <f t="shared" si="794"/>
        <v>1.51</v>
      </c>
      <c r="AQ678" s="12" t="str">
        <f t="shared" si="795"/>
        <v/>
      </c>
      <c r="AR678" s="12" t="str">
        <f t="shared" si="796"/>
        <v/>
      </c>
      <c r="AS678" s="12" t="str">
        <f t="shared" si="797"/>
        <v/>
      </c>
      <c r="AT678" s="12" t="str">
        <f t="shared" si="798"/>
        <v/>
      </c>
      <c r="AU678" s="12" t="str">
        <f t="shared" si="799"/>
        <v/>
      </c>
      <c r="AV678" s="17"/>
    </row>
    <row r="679" spans="1:48" x14ac:dyDescent="0.25">
      <c r="A679" s="43" t="s">
        <v>374</v>
      </c>
      <c r="B679" s="52" t="s">
        <v>897</v>
      </c>
      <c r="C679" s="44"/>
      <c r="D679" s="43"/>
      <c r="E679" s="52" t="s">
        <v>853</v>
      </c>
      <c r="F679" s="46"/>
      <c r="G679" s="76" t="s">
        <v>1041</v>
      </c>
      <c r="H679" s="48" t="s">
        <v>1093</v>
      </c>
      <c r="I679" s="48"/>
      <c r="J679" s="84" t="s">
        <v>1132</v>
      </c>
      <c r="K679" s="85"/>
      <c r="L679" s="47"/>
      <c r="M679" s="3">
        <v>1.51</v>
      </c>
      <c r="N679" s="3">
        <f t="shared" si="776"/>
        <v>2.9000000000000004</v>
      </c>
      <c r="O679" s="22">
        <v>0.1</v>
      </c>
      <c r="P679" s="23">
        <v>1</v>
      </c>
      <c r="Q679" s="3"/>
      <c r="R679" s="3">
        <f t="shared" si="777"/>
        <v>2.387</v>
      </c>
      <c r="S679" s="3"/>
      <c r="T679" s="3"/>
      <c r="U679" s="3"/>
      <c r="V679" s="23"/>
      <c r="W679" s="3"/>
      <c r="X679" s="3"/>
      <c r="Y679" s="17"/>
      <c r="Z679" s="17"/>
      <c r="AA679" s="3"/>
      <c r="AB679" s="3"/>
      <c r="AC679" s="3"/>
      <c r="AD679" s="3"/>
      <c r="AE679" s="3"/>
      <c r="AF679" s="3"/>
      <c r="AG679" s="3"/>
      <c r="AH679" s="3"/>
      <c r="AI679" s="3"/>
      <c r="AJ679" s="3"/>
      <c r="AK679" s="12">
        <f t="shared" si="789"/>
        <v>1.9920000000000004</v>
      </c>
      <c r="AL679" s="12">
        <f t="shared" si="790"/>
        <v>1.9920000000000004</v>
      </c>
      <c r="AM679" s="12">
        <f t="shared" si="791"/>
        <v>0.19920000000000004</v>
      </c>
      <c r="AN679" s="12">
        <f t="shared" si="792"/>
        <v>0.19920000000000004</v>
      </c>
      <c r="AO679" s="12" t="str">
        <f t="shared" si="793"/>
        <v/>
      </c>
      <c r="AP679" s="12">
        <f t="shared" si="794"/>
        <v>1.51</v>
      </c>
      <c r="AQ679" s="12" t="str">
        <f t="shared" si="795"/>
        <v/>
      </c>
      <c r="AR679" s="12" t="str">
        <f t="shared" si="796"/>
        <v/>
      </c>
      <c r="AS679" s="12" t="str">
        <f t="shared" si="797"/>
        <v/>
      </c>
      <c r="AT679" s="12" t="str">
        <f t="shared" si="798"/>
        <v/>
      </c>
      <c r="AU679" s="12" t="str">
        <f t="shared" si="799"/>
        <v/>
      </c>
      <c r="AV679" s="17"/>
    </row>
    <row r="680" spans="1:48" x14ac:dyDescent="0.25">
      <c r="A680" s="43" t="s">
        <v>374</v>
      </c>
      <c r="B680" s="52" t="s">
        <v>898</v>
      </c>
      <c r="C680" s="44"/>
      <c r="D680" s="43"/>
      <c r="E680" s="52" t="s">
        <v>855</v>
      </c>
      <c r="F680" s="46"/>
      <c r="G680" s="76" t="s">
        <v>1042</v>
      </c>
      <c r="H680" s="48" t="s">
        <v>1093</v>
      </c>
      <c r="I680" s="48"/>
      <c r="J680" s="84" t="s">
        <v>1132</v>
      </c>
      <c r="K680" s="85"/>
      <c r="L680" s="47"/>
      <c r="M680" s="3">
        <v>1.51</v>
      </c>
      <c r="N680" s="3">
        <f t="shared" si="776"/>
        <v>2.9000000000000004</v>
      </c>
      <c r="O680" s="22">
        <v>0.1</v>
      </c>
      <c r="P680" s="23">
        <v>1</v>
      </c>
      <c r="Q680" s="3"/>
      <c r="R680" s="3">
        <f t="shared" si="777"/>
        <v>2.387</v>
      </c>
      <c r="S680" s="3"/>
      <c r="T680" s="3"/>
      <c r="U680" s="3"/>
      <c r="V680" s="23"/>
      <c r="W680" s="3"/>
      <c r="X680" s="3"/>
      <c r="Y680" s="17"/>
      <c r="Z680" s="17"/>
      <c r="AA680" s="3"/>
      <c r="AB680" s="3"/>
      <c r="AC680" s="3"/>
      <c r="AD680" s="3"/>
      <c r="AE680" s="3"/>
      <c r="AF680" s="3"/>
      <c r="AG680" s="3"/>
      <c r="AH680" s="3"/>
      <c r="AI680" s="3"/>
      <c r="AJ680" s="3"/>
      <c r="AK680" s="12">
        <f t="shared" si="789"/>
        <v>1.9920000000000004</v>
      </c>
      <c r="AL680" s="12">
        <f t="shared" si="790"/>
        <v>1.9920000000000004</v>
      </c>
      <c r="AM680" s="12">
        <f t="shared" si="791"/>
        <v>0.19920000000000004</v>
      </c>
      <c r="AN680" s="12">
        <f t="shared" si="792"/>
        <v>0.19920000000000004</v>
      </c>
      <c r="AO680" s="12" t="str">
        <f t="shared" si="793"/>
        <v/>
      </c>
      <c r="AP680" s="12">
        <f t="shared" si="794"/>
        <v>1.51</v>
      </c>
      <c r="AQ680" s="12" t="str">
        <f t="shared" si="795"/>
        <v/>
      </c>
      <c r="AR680" s="12" t="str">
        <f t="shared" si="796"/>
        <v/>
      </c>
      <c r="AS680" s="12" t="str">
        <f t="shared" si="797"/>
        <v/>
      </c>
      <c r="AT680" s="12" t="str">
        <f t="shared" si="798"/>
        <v/>
      </c>
      <c r="AU680" s="12" t="str">
        <f t="shared" si="799"/>
        <v/>
      </c>
      <c r="AV680" s="17"/>
    </row>
    <row r="681" spans="1:48" x14ac:dyDescent="0.25">
      <c r="A681" s="43" t="s">
        <v>374</v>
      </c>
      <c r="B681" s="52" t="s">
        <v>883</v>
      </c>
      <c r="C681" s="44"/>
      <c r="D681" s="43"/>
      <c r="E681" s="52" t="s">
        <v>856</v>
      </c>
      <c r="F681" s="46"/>
      <c r="G681" s="76" t="s">
        <v>1043</v>
      </c>
      <c r="H681" s="48" t="s">
        <v>1093</v>
      </c>
      <c r="I681" s="48"/>
      <c r="J681" s="84" t="s">
        <v>1132</v>
      </c>
      <c r="K681" s="85"/>
      <c r="L681" s="47"/>
      <c r="M681" s="3">
        <v>1.51</v>
      </c>
      <c r="N681" s="3">
        <f t="shared" si="776"/>
        <v>2.9000000000000004</v>
      </c>
      <c r="O681" s="22">
        <v>0.1</v>
      </c>
      <c r="P681" s="23">
        <v>1</v>
      </c>
      <c r="Q681" s="3"/>
      <c r="R681" s="3">
        <f t="shared" si="777"/>
        <v>2.387</v>
      </c>
      <c r="S681" s="3"/>
      <c r="T681" s="3"/>
      <c r="U681" s="3"/>
      <c r="V681" s="23"/>
      <c r="W681" s="3"/>
      <c r="X681" s="3"/>
      <c r="Y681" s="17"/>
      <c r="Z681" s="17"/>
      <c r="AA681" s="3"/>
      <c r="AB681" s="3"/>
      <c r="AC681" s="3"/>
      <c r="AD681" s="3"/>
      <c r="AE681" s="3"/>
      <c r="AF681" s="3"/>
      <c r="AG681" s="3"/>
      <c r="AH681" s="3"/>
      <c r="AI681" s="3"/>
      <c r="AJ681" s="3"/>
      <c r="AK681" s="12">
        <f t="shared" si="789"/>
        <v>1.9920000000000004</v>
      </c>
      <c r="AL681" s="12">
        <f t="shared" si="790"/>
        <v>1.9920000000000004</v>
      </c>
      <c r="AM681" s="12">
        <f t="shared" si="791"/>
        <v>0.19920000000000004</v>
      </c>
      <c r="AN681" s="12">
        <f t="shared" si="792"/>
        <v>0.19920000000000004</v>
      </c>
      <c r="AO681" s="12" t="str">
        <f t="shared" si="793"/>
        <v/>
      </c>
      <c r="AP681" s="12">
        <f t="shared" si="794"/>
        <v>1.51</v>
      </c>
      <c r="AQ681" s="12" t="str">
        <f t="shared" si="795"/>
        <v/>
      </c>
      <c r="AR681" s="12" t="str">
        <f t="shared" si="796"/>
        <v/>
      </c>
      <c r="AS681" s="12" t="str">
        <f t="shared" si="797"/>
        <v/>
      </c>
      <c r="AT681" s="12" t="str">
        <f t="shared" si="798"/>
        <v/>
      </c>
      <c r="AU681" s="12" t="str">
        <f t="shared" si="799"/>
        <v/>
      </c>
      <c r="AV681" s="17"/>
    </row>
    <row r="682" spans="1:48" x14ac:dyDescent="0.25">
      <c r="A682" s="43" t="s">
        <v>374</v>
      </c>
      <c r="B682" s="52" t="s">
        <v>891</v>
      </c>
      <c r="C682" s="44"/>
      <c r="D682" s="43"/>
      <c r="E682" s="52" t="s">
        <v>854</v>
      </c>
      <c r="F682" s="46"/>
      <c r="G682" s="76" t="s">
        <v>1044</v>
      </c>
      <c r="H682" s="48" t="s">
        <v>1108</v>
      </c>
      <c r="I682" s="48"/>
      <c r="J682" s="84" t="s">
        <v>1131</v>
      </c>
      <c r="K682" s="85"/>
      <c r="L682" s="47" t="s">
        <v>567</v>
      </c>
      <c r="M682" s="3">
        <v>2.5</v>
      </c>
      <c r="N682" s="3">
        <f t="shared" si="776"/>
        <v>2.9000000000000004</v>
      </c>
      <c r="O682" s="22">
        <v>0.46500000000000002</v>
      </c>
      <c r="P682" s="23">
        <v>1</v>
      </c>
      <c r="Q682" s="3"/>
      <c r="R682" s="3"/>
      <c r="S682" s="3"/>
      <c r="T682" s="3"/>
      <c r="U682" s="3"/>
      <c r="V682" s="23"/>
      <c r="W682" s="3"/>
      <c r="X682" s="3"/>
      <c r="Y682" s="17"/>
      <c r="Z682" s="17"/>
      <c r="AA682" s="3"/>
      <c r="AB682" s="3"/>
      <c r="AC682" s="3"/>
      <c r="AD682" s="3"/>
      <c r="AE682" s="3"/>
      <c r="AF682" s="3"/>
      <c r="AG682" s="3"/>
      <c r="AH682" s="3"/>
      <c r="AI682" s="3"/>
      <c r="AJ682" s="3"/>
      <c r="AK682" s="12">
        <f t="shared" si="789"/>
        <v>7.2500000000000009</v>
      </c>
      <c r="AL682" s="12">
        <f t="shared" si="790"/>
        <v>7.2500000000000009</v>
      </c>
      <c r="AM682" s="12">
        <f t="shared" si="791"/>
        <v>3.3712500000000007</v>
      </c>
      <c r="AN682" s="12">
        <f t="shared" si="792"/>
        <v>3.3712500000000007</v>
      </c>
      <c r="AO682" s="12" t="str">
        <f t="shared" si="793"/>
        <v/>
      </c>
      <c r="AP682" s="12">
        <f t="shared" si="794"/>
        <v>2.5</v>
      </c>
      <c r="AQ682" s="12" t="str">
        <f t="shared" si="795"/>
        <v/>
      </c>
      <c r="AR682" s="12" t="str">
        <f t="shared" si="796"/>
        <v/>
      </c>
      <c r="AS682" s="12" t="str">
        <f t="shared" si="797"/>
        <v/>
      </c>
      <c r="AT682" s="12" t="str">
        <f t="shared" si="798"/>
        <v/>
      </c>
      <c r="AU682" s="12" t="str">
        <f t="shared" si="799"/>
        <v/>
      </c>
      <c r="AV682" s="17"/>
    </row>
    <row r="683" spans="1:48" x14ac:dyDescent="0.25">
      <c r="A683" s="43" t="s">
        <v>374</v>
      </c>
      <c r="B683" s="52" t="s">
        <v>876</v>
      </c>
      <c r="C683" s="44"/>
      <c r="D683" s="43"/>
      <c r="E683" s="52"/>
      <c r="F683" s="46"/>
      <c r="G683" s="76" t="s">
        <v>1045</v>
      </c>
      <c r="H683" s="48" t="s">
        <v>1090</v>
      </c>
      <c r="I683" s="48"/>
      <c r="J683" s="84" t="s">
        <v>1131</v>
      </c>
      <c r="K683" s="85"/>
      <c r="L683" s="47" t="s">
        <v>907</v>
      </c>
      <c r="M683" s="3">
        <v>2.5</v>
      </c>
      <c r="N683" s="3">
        <f t="shared" si="776"/>
        <v>2.9000000000000004</v>
      </c>
      <c r="O683" s="22">
        <v>0.185</v>
      </c>
      <c r="P683" s="23">
        <v>1</v>
      </c>
      <c r="Q683" s="3"/>
      <c r="R683" s="3"/>
      <c r="S683" s="3"/>
      <c r="T683" s="3"/>
      <c r="U683" s="3"/>
      <c r="V683" s="23"/>
      <c r="W683" s="3"/>
      <c r="X683" s="3"/>
      <c r="Y683" s="17"/>
      <c r="Z683" s="17"/>
      <c r="AA683" s="3"/>
      <c r="AB683" s="3"/>
      <c r="AC683" s="3"/>
      <c r="AD683" s="3"/>
      <c r="AE683" s="3"/>
      <c r="AF683" s="3"/>
      <c r="AG683" s="3"/>
      <c r="AH683" s="3"/>
      <c r="AI683" s="3"/>
      <c r="AJ683" s="3"/>
      <c r="AK683" s="12">
        <f t="shared" ref="AK683:AK698" si="800">IF(((M683*N683)-Q683-R683-S683+T683+U683)=0,"",((M683*N683)-Q683-R683-S683+T683+U683))</f>
        <v>7.2500000000000009</v>
      </c>
      <c r="AL683" s="12">
        <f t="shared" ref="AL683:AL698" si="801">IF(PRODUCT(P683,AK683)=0,"",P683*AK683)</f>
        <v>7.2500000000000009</v>
      </c>
      <c r="AM683" s="12">
        <f t="shared" ref="AM683:AM698" si="802">IF(PRODUCT(AK683,O683)=0,"",AK683*O683)</f>
        <v>1.3412500000000001</v>
      </c>
      <c r="AN683" s="12">
        <f t="shared" ref="AN683:AN698" si="803">IF(PRODUCT(AM683,P683)=0,"",AM683*P683)</f>
        <v>1.3412500000000001</v>
      </c>
      <c r="AO683" s="12" t="str">
        <f t="shared" ref="AO683:AO698" si="804">IF(N683*V683-W683+X683=0,"",N683*V683-W683+X683)</f>
        <v/>
      </c>
      <c r="AP683" s="12">
        <f t="shared" ref="AP683:AP698" si="805">IF(PRODUCT(M683,P683)=0,"",M683*P683)</f>
        <v>2.5</v>
      </c>
      <c r="AQ683" s="12" t="str">
        <f t="shared" ref="AQ683:AQ698" si="806">IF(AA683+AB683=0,"",AA683+AB683)</f>
        <v/>
      </c>
      <c r="AR683" s="12" t="str">
        <f t="shared" ref="AR683:AR698" si="807">IF(AC683+AD683=0,"",AC683+AD683)</f>
        <v/>
      </c>
      <c r="AS683" s="12" t="str">
        <f t="shared" ref="AS683:AS698" si="808">IF((AE683*AH683*AI683)*P683=0,"",(AE683*AH683*AI683)*P683)</f>
        <v/>
      </c>
      <c r="AT683" s="12" t="str">
        <f t="shared" ref="AT683:AT698" si="809">IF(AJ683*P683=0,"",AJ683*P683)</f>
        <v/>
      </c>
      <c r="AU683" s="12" t="str">
        <f t="shared" ref="AU683:AU698" si="810">IF(OR(H683="s1",H683="s2",H683="s3",H683="s4",H683="s4*",H683="s5",H683="s12",H683="s16"),IF(M683&gt;=4,M683,""),"")</f>
        <v/>
      </c>
      <c r="AV683" s="17"/>
    </row>
    <row r="684" spans="1:48" x14ac:dyDescent="0.25">
      <c r="A684" s="43" t="s">
        <v>374</v>
      </c>
      <c r="B684" s="52" t="s">
        <v>876</v>
      </c>
      <c r="C684" s="44"/>
      <c r="D684" s="43"/>
      <c r="E684" s="52"/>
      <c r="F684" s="46"/>
      <c r="G684" s="76" t="s">
        <v>1123</v>
      </c>
      <c r="H684" s="48" t="s">
        <v>1110</v>
      </c>
      <c r="I684" s="48"/>
      <c r="J684" s="84" t="s">
        <v>1146</v>
      </c>
      <c r="K684" s="85"/>
      <c r="L684" s="47" t="s">
        <v>1111</v>
      </c>
      <c r="M684" s="3">
        <v>1</v>
      </c>
      <c r="N684" s="3">
        <f t="shared" si="776"/>
        <v>2.9000000000000004</v>
      </c>
      <c r="O684" s="22">
        <v>0.05</v>
      </c>
      <c r="P684" s="23">
        <v>1</v>
      </c>
      <c r="Q684" s="3"/>
      <c r="R684" s="3"/>
      <c r="S684" s="3"/>
      <c r="T684" s="3"/>
      <c r="U684" s="3"/>
      <c r="V684" s="23"/>
      <c r="W684" s="3"/>
      <c r="X684" s="3"/>
      <c r="Y684" s="17"/>
      <c r="Z684" s="17"/>
      <c r="AA684" s="3"/>
      <c r="AB684" s="3"/>
      <c r="AC684" s="3"/>
      <c r="AD684" s="3"/>
      <c r="AE684" s="3"/>
      <c r="AF684" s="3"/>
      <c r="AG684" s="3"/>
      <c r="AH684" s="3"/>
      <c r="AI684" s="3"/>
      <c r="AJ684" s="3"/>
      <c r="AK684" s="12">
        <f t="shared" si="800"/>
        <v>2.9000000000000004</v>
      </c>
      <c r="AL684" s="12">
        <f t="shared" si="801"/>
        <v>2.9000000000000004</v>
      </c>
      <c r="AM684" s="12">
        <f t="shared" si="802"/>
        <v>0.14500000000000002</v>
      </c>
      <c r="AN684" s="12">
        <f t="shared" si="803"/>
        <v>0.14500000000000002</v>
      </c>
      <c r="AO684" s="12" t="str">
        <f t="shared" si="804"/>
        <v/>
      </c>
      <c r="AP684" s="12">
        <f t="shared" si="805"/>
        <v>1</v>
      </c>
      <c r="AQ684" s="12" t="str">
        <f t="shared" si="806"/>
        <v/>
      </c>
      <c r="AR684" s="12" t="str">
        <f t="shared" si="807"/>
        <v/>
      </c>
      <c r="AS684" s="12" t="str">
        <f t="shared" si="808"/>
        <v/>
      </c>
      <c r="AT684" s="12" t="str">
        <f t="shared" si="809"/>
        <v/>
      </c>
      <c r="AU684" s="12" t="str">
        <f t="shared" si="810"/>
        <v/>
      </c>
      <c r="AV684" s="17"/>
    </row>
    <row r="685" spans="1:48" x14ac:dyDescent="0.25">
      <c r="A685" s="43" t="s">
        <v>374</v>
      </c>
      <c r="B685" s="52" t="s">
        <v>876</v>
      </c>
      <c r="C685" s="44"/>
      <c r="D685" s="43"/>
      <c r="E685" s="52"/>
      <c r="F685" s="46"/>
      <c r="G685" s="76" t="s">
        <v>1123</v>
      </c>
      <c r="H685" s="48" t="s">
        <v>1110</v>
      </c>
      <c r="I685" s="48"/>
      <c r="J685" s="84" t="s">
        <v>1146</v>
      </c>
      <c r="K685" s="85"/>
      <c r="L685" s="47" t="s">
        <v>1111</v>
      </c>
      <c r="M685" s="3">
        <v>1</v>
      </c>
      <c r="N685" s="3">
        <f t="shared" si="776"/>
        <v>2.9000000000000004</v>
      </c>
      <c r="O685" s="22">
        <v>0.05</v>
      </c>
      <c r="P685" s="23">
        <v>1</v>
      </c>
      <c r="Q685" s="3"/>
      <c r="R685" s="3"/>
      <c r="S685" s="3"/>
      <c r="T685" s="3"/>
      <c r="U685" s="3"/>
      <c r="V685" s="23"/>
      <c r="W685" s="3"/>
      <c r="X685" s="3"/>
      <c r="Y685" s="17"/>
      <c r="Z685" s="17"/>
      <c r="AA685" s="3"/>
      <c r="AB685" s="3"/>
      <c r="AC685" s="3"/>
      <c r="AD685" s="3"/>
      <c r="AE685" s="3"/>
      <c r="AF685" s="3"/>
      <c r="AG685" s="3"/>
      <c r="AH685" s="3"/>
      <c r="AI685" s="3"/>
      <c r="AJ685" s="3"/>
      <c r="AK685" s="12">
        <f t="shared" si="800"/>
        <v>2.9000000000000004</v>
      </c>
      <c r="AL685" s="12">
        <f t="shared" si="801"/>
        <v>2.9000000000000004</v>
      </c>
      <c r="AM685" s="12">
        <f t="shared" si="802"/>
        <v>0.14500000000000002</v>
      </c>
      <c r="AN685" s="12">
        <f t="shared" si="803"/>
        <v>0.14500000000000002</v>
      </c>
      <c r="AO685" s="12" t="str">
        <f t="shared" si="804"/>
        <v/>
      </c>
      <c r="AP685" s="12">
        <f t="shared" si="805"/>
        <v>1</v>
      </c>
      <c r="AQ685" s="12" t="str">
        <f t="shared" si="806"/>
        <v/>
      </c>
      <c r="AR685" s="12" t="str">
        <f t="shared" si="807"/>
        <v/>
      </c>
      <c r="AS685" s="12" t="str">
        <f t="shared" si="808"/>
        <v/>
      </c>
      <c r="AT685" s="12" t="str">
        <f t="shared" si="809"/>
        <v/>
      </c>
      <c r="AU685" s="12" t="str">
        <f t="shared" si="810"/>
        <v/>
      </c>
      <c r="AV685" s="17"/>
    </row>
    <row r="686" spans="1:48" x14ac:dyDescent="0.25">
      <c r="A686" s="43" t="s">
        <v>374</v>
      </c>
      <c r="B686" s="52" t="s">
        <v>877</v>
      </c>
      <c r="C686" s="44"/>
      <c r="D686" s="43"/>
      <c r="E686" s="52"/>
      <c r="F686" s="46"/>
      <c r="G686" s="76" t="s">
        <v>1046</v>
      </c>
      <c r="H686" s="48" t="s">
        <v>1090</v>
      </c>
      <c r="I686" s="48"/>
      <c r="J686" s="84" t="s">
        <v>1131</v>
      </c>
      <c r="K686" s="85"/>
      <c r="L686" s="47" t="s">
        <v>907</v>
      </c>
      <c r="M686" s="3">
        <v>2.5</v>
      </c>
      <c r="N686" s="3">
        <f t="shared" si="776"/>
        <v>2.9000000000000004</v>
      </c>
      <c r="O686" s="22">
        <v>0.185</v>
      </c>
      <c r="P686" s="23">
        <v>1</v>
      </c>
      <c r="Q686" s="3"/>
      <c r="R686" s="3"/>
      <c r="S686" s="3"/>
      <c r="T686" s="3"/>
      <c r="U686" s="3"/>
      <c r="V686" s="23"/>
      <c r="W686" s="3"/>
      <c r="X686" s="3"/>
      <c r="Y686" s="17"/>
      <c r="Z686" s="17"/>
      <c r="AA686" s="3"/>
      <c r="AB686" s="3"/>
      <c r="AC686" s="3"/>
      <c r="AD686" s="3"/>
      <c r="AE686" s="3"/>
      <c r="AF686" s="3"/>
      <c r="AG686" s="3"/>
      <c r="AH686" s="3"/>
      <c r="AI686" s="3"/>
      <c r="AJ686" s="3"/>
      <c r="AK686" s="12">
        <f t="shared" si="800"/>
        <v>7.2500000000000009</v>
      </c>
      <c r="AL686" s="12">
        <f t="shared" si="801"/>
        <v>7.2500000000000009</v>
      </c>
      <c r="AM686" s="12">
        <f t="shared" si="802"/>
        <v>1.3412500000000001</v>
      </c>
      <c r="AN686" s="12">
        <f t="shared" si="803"/>
        <v>1.3412500000000001</v>
      </c>
      <c r="AO686" s="12" t="str">
        <f t="shared" si="804"/>
        <v/>
      </c>
      <c r="AP686" s="12">
        <f t="shared" si="805"/>
        <v>2.5</v>
      </c>
      <c r="AQ686" s="12" t="str">
        <f t="shared" si="806"/>
        <v/>
      </c>
      <c r="AR686" s="12" t="str">
        <f t="shared" si="807"/>
        <v/>
      </c>
      <c r="AS686" s="12" t="str">
        <f t="shared" si="808"/>
        <v/>
      </c>
      <c r="AT686" s="12" t="str">
        <f t="shared" si="809"/>
        <v/>
      </c>
      <c r="AU686" s="12" t="str">
        <f t="shared" si="810"/>
        <v/>
      </c>
      <c r="AV686" s="17"/>
    </row>
    <row r="687" spans="1:48" x14ac:dyDescent="0.25">
      <c r="A687" s="43" t="s">
        <v>374</v>
      </c>
      <c r="B687" s="52" t="s">
        <v>877</v>
      </c>
      <c r="C687" s="44"/>
      <c r="D687" s="43"/>
      <c r="E687" s="52"/>
      <c r="F687" s="46"/>
      <c r="G687" s="76" t="s">
        <v>1124</v>
      </c>
      <c r="H687" s="48" t="s">
        <v>1110</v>
      </c>
      <c r="I687" s="48"/>
      <c r="J687" s="84" t="s">
        <v>1146</v>
      </c>
      <c r="K687" s="85"/>
      <c r="L687" s="47" t="s">
        <v>1111</v>
      </c>
      <c r="M687" s="3">
        <v>0.86</v>
      </c>
      <c r="N687" s="3">
        <f t="shared" si="776"/>
        <v>2.9000000000000004</v>
      </c>
      <c r="O687" s="22">
        <v>0.05</v>
      </c>
      <c r="P687" s="23">
        <v>1</v>
      </c>
      <c r="Q687" s="3"/>
      <c r="R687" s="3"/>
      <c r="S687" s="3"/>
      <c r="T687" s="3"/>
      <c r="U687" s="3"/>
      <c r="V687" s="23"/>
      <c r="W687" s="3"/>
      <c r="X687" s="3"/>
      <c r="Y687" s="17"/>
      <c r="Z687" s="17"/>
      <c r="AA687" s="3"/>
      <c r="AB687" s="3"/>
      <c r="AC687" s="3"/>
      <c r="AD687" s="3"/>
      <c r="AE687" s="3"/>
      <c r="AF687" s="3"/>
      <c r="AG687" s="3"/>
      <c r="AH687" s="3"/>
      <c r="AI687" s="3"/>
      <c r="AJ687" s="3"/>
      <c r="AK687" s="12">
        <f t="shared" si="800"/>
        <v>2.4940000000000002</v>
      </c>
      <c r="AL687" s="12">
        <f t="shared" si="801"/>
        <v>2.4940000000000002</v>
      </c>
      <c r="AM687" s="12">
        <f t="shared" si="802"/>
        <v>0.12470000000000002</v>
      </c>
      <c r="AN687" s="12">
        <f t="shared" si="803"/>
        <v>0.12470000000000002</v>
      </c>
      <c r="AO687" s="12" t="str">
        <f t="shared" si="804"/>
        <v/>
      </c>
      <c r="AP687" s="12">
        <f t="shared" si="805"/>
        <v>0.86</v>
      </c>
      <c r="AQ687" s="12" t="str">
        <f t="shared" si="806"/>
        <v/>
      </c>
      <c r="AR687" s="12" t="str">
        <f t="shared" si="807"/>
        <v/>
      </c>
      <c r="AS687" s="12" t="str">
        <f t="shared" si="808"/>
        <v/>
      </c>
      <c r="AT687" s="12" t="str">
        <f t="shared" si="809"/>
        <v/>
      </c>
      <c r="AU687" s="12" t="str">
        <f t="shared" si="810"/>
        <v/>
      </c>
      <c r="AV687" s="17"/>
    </row>
    <row r="688" spans="1:48" x14ac:dyDescent="0.25">
      <c r="A688" s="43" t="s">
        <v>374</v>
      </c>
      <c r="B688" s="52" t="s">
        <v>892</v>
      </c>
      <c r="C688" s="44"/>
      <c r="D688" s="43"/>
      <c r="E688" s="52" t="s">
        <v>893</v>
      </c>
      <c r="F688" s="46"/>
      <c r="G688" s="76" t="s">
        <v>1047</v>
      </c>
      <c r="H688" s="48" t="s">
        <v>1108</v>
      </c>
      <c r="I688" s="48"/>
      <c r="J688" s="84" t="s">
        <v>1131</v>
      </c>
      <c r="K688" s="85"/>
      <c r="L688" s="47" t="s">
        <v>567</v>
      </c>
      <c r="M688" s="3">
        <v>2.5</v>
      </c>
      <c r="N688" s="3">
        <f t="shared" si="776"/>
        <v>2.9000000000000004</v>
      </c>
      <c r="O688" s="22">
        <v>0.46500000000000002</v>
      </c>
      <c r="P688" s="23">
        <v>1</v>
      </c>
      <c r="Q688" s="3"/>
      <c r="R688" s="3"/>
      <c r="S688" s="3"/>
      <c r="T688" s="3"/>
      <c r="U688" s="3"/>
      <c r="V688" s="23"/>
      <c r="W688" s="3"/>
      <c r="X688" s="3"/>
      <c r="Y688" s="17"/>
      <c r="Z688" s="17"/>
      <c r="AA688" s="3"/>
      <c r="AB688" s="3"/>
      <c r="AC688" s="3"/>
      <c r="AD688" s="3"/>
      <c r="AE688" s="3"/>
      <c r="AF688" s="3"/>
      <c r="AG688" s="3"/>
      <c r="AH688" s="3"/>
      <c r="AI688" s="3"/>
      <c r="AJ688" s="3"/>
      <c r="AK688" s="12">
        <f t="shared" si="800"/>
        <v>7.2500000000000009</v>
      </c>
      <c r="AL688" s="12">
        <f t="shared" si="801"/>
        <v>7.2500000000000009</v>
      </c>
      <c r="AM688" s="12">
        <f t="shared" si="802"/>
        <v>3.3712500000000007</v>
      </c>
      <c r="AN688" s="12">
        <f t="shared" si="803"/>
        <v>3.3712500000000007</v>
      </c>
      <c r="AO688" s="12" t="str">
        <f t="shared" si="804"/>
        <v/>
      </c>
      <c r="AP688" s="12">
        <f t="shared" si="805"/>
        <v>2.5</v>
      </c>
      <c r="AQ688" s="12" t="str">
        <f t="shared" si="806"/>
        <v/>
      </c>
      <c r="AR688" s="12" t="str">
        <f t="shared" si="807"/>
        <v/>
      </c>
      <c r="AS688" s="12" t="str">
        <f t="shared" si="808"/>
        <v/>
      </c>
      <c r="AT688" s="12" t="str">
        <f t="shared" si="809"/>
        <v/>
      </c>
      <c r="AU688" s="12" t="str">
        <f t="shared" si="810"/>
        <v/>
      </c>
      <c r="AV688" s="17"/>
    </row>
    <row r="689" spans="1:48" x14ac:dyDescent="0.25">
      <c r="A689" s="43" t="s">
        <v>374</v>
      </c>
      <c r="B689" s="52" t="s">
        <v>880</v>
      </c>
      <c r="C689" s="44"/>
      <c r="D689" s="43"/>
      <c r="E689" s="52" t="s">
        <v>894</v>
      </c>
      <c r="F689" s="46"/>
      <c r="G689" s="76" t="s">
        <v>1048</v>
      </c>
      <c r="H689" s="48" t="s">
        <v>1108</v>
      </c>
      <c r="I689" s="48"/>
      <c r="J689" s="84" t="s">
        <v>1131</v>
      </c>
      <c r="K689" s="85"/>
      <c r="L689" s="47" t="s">
        <v>567</v>
      </c>
      <c r="M689" s="3">
        <v>2.15</v>
      </c>
      <c r="N689" s="3">
        <f t="shared" si="776"/>
        <v>2.9000000000000004</v>
      </c>
      <c r="O689" s="22">
        <v>0.46500000000000002</v>
      </c>
      <c r="P689" s="23">
        <v>1</v>
      </c>
      <c r="Q689" s="3"/>
      <c r="R689" s="3"/>
      <c r="S689" s="3"/>
      <c r="T689" s="3"/>
      <c r="U689" s="3"/>
      <c r="V689" s="23"/>
      <c r="W689" s="3"/>
      <c r="X689" s="3"/>
      <c r="Y689" s="17"/>
      <c r="Z689" s="17"/>
      <c r="AA689" s="3"/>
      <c r="AB689" s="3"/>
      <c r="AC689" s="3"/>
      <c r="AD689" s="3"/>
      <c r="AE689" s="3"/>
      <c r="AF689" s="3"/>
      <c r="AG689" s="3"/>
      <c r="AH689" s="3"/>
      <c r="AI689" s="3"/>
      <c r="AJ689" s="3"/>
      <c r="AK689" s="12">
        <f t="shared" si="800"/>
        <v>6.2350000000000003</v>
      </c>
      <c r="AL689" s="12">
        <f t="shared" si="801"/>
        <v>6.2350000000000003</v>
      </c>
      <c r="AM689" s="12">
        <f t="shared" si="802"/>
        <v>2.8992750000000003</v>
      </c>
      <c r="AN689" s="12">
        <f t="shared" si="803"/>
        <v>2.8992750000000003</v>
      </c>
      <c r="AO689" s="12" t="str">
        <f t="shared" si="804"/>
        <v/>
      </c>
      <c r="AP689" s="12">
        <f t="shared" si="805"/>
        <v>2.15</v>
      </c>
      <c r="AQ689" s="12" t="str">
        <f t="shared" si="806"/>
        <v/>
      </c>
      <c r="AR689" s="12" t="str">
        <f t="shared" si="807"/>
        <v/>
      </c>
      <c r="AS689" s="12" t="str">
        <f t="shared" si="808"/>
        <v/>
      </c>
      <c r="AT689" s="12" t="str">
        <f t="shared" si="809"/>
        <v/>
      </c>
      <c r="AU689" s="12" t="str">
        <f t="shared" si="810"/>
        <v/>
      </c>
      <c r="AV689" s="17"/>
    </row>
    <row r="690" spans="1:48" x14ac:dyDescent="0.25">
      <c r="A690" s="43" t="s">
        <v>374</v>
      </c>
      <c r="B690" s="52" t="s">
        <v>895</v>
      </c>
      <c r="C690" s="44"/>
      <c r="D690" s="43"/>
      <c r="E690" s="52" t="s">
        <v>896</v>
      </c>
      <c r="F690" s="46"/>
      <c r="G690" s="76" t="s">
        <v>1049</v>
      </c>
      <c r="H690" s="48" t="s">
        <v>1108</v>
      </c>
      <c r="I690" s="48"/>
      <c r="J690" s="84" t="s">
        <v>1131</v>
      </c>
      <c r="K690" s="85"/>
      <c r="L690" s="47" t="s">
        <v>567</v>
      </c>
      <c r="M690" s="3">
        <v>2.5</v>
      </c>
      <c r="N690" s="3">
        <f t="shared" si="776"/>
        <v>2.9000000000000004</v>
      </c>
      <c r="O690" s="22">
        <v>0.46500000000000002</v>
      </c>
      <c r="P690" s="23">
        <v>1</v>
      </c>
      <c r="Q690" s="3"/>
      <c r="R690" s="3"/>
      <c r="S690" s="3"/>
      <c r="T690" s="3"/>
      <c r="U690" s="3"/>
      <c r="V690" s="23"/>
      <c r="W690" s="3"/>
      <c r="X690" s="3"/>
      <c r="Y690" s="17"/>
      <c r="Z690" s="17"/>
      <c r="AA690" s="3"/>
      <c r="AB690" s="3"/>
      <c r="AC690" s="3"/>
      <c r="AD690" s="3"/>
      <c r="AE690" s="3"/>
      <c r="AF690" s="3"/>
      <c r="AG690" s="3"/>
      <c r="AH690" s="3"/>
      <c r="AI690" s="3"/>
      <c r="AJ690" s="3"/>
      <c r="AK690" s="12">
        <f t="shared" si="800"/>
        <v>7.2500000000000009</v>
      </c>
      <c r="AL690" s="12">
        <f t="shared" si="801"/>
        <v>7.2500000000000009</v>
      </c>
      <c r="AM690" s="12">
        <f t="shared" si="802"/>
        <v>3.3712500000000007</v>
      </c>
      <c r="AN690" s="12">
        <f t="shared" si="803"/>
        <v>3.3712500000000007</v>
      </c>
      <c r="AO690" s="12" t="str">
        <f t="shared" si="804"/>
        <v/>
      </c>
      <c r="AP690" s="12">
        <f t="shared" si="805"/>
        <v>2.5</v>
      </c>
      <c r="AQ690" s="12" t="str">
        <f t="shared" si="806"/>
        <v/>
      </c>
      <c r="AR690" s="12" t="str">
        <f t="shared" si="807"/>
        <v/>
      </c>
      <c r="AS690" s="12" t="str">
        <f t="shared" si="808"/>
        <v/>
      </c>
      <c r="AT690" s="12" t="str">
        <f t="shared" si="809"/>
        <v/>
      </c>
      <c r="AU690" s="12" t="str">
        <f t="shared" si="810"/>
        <v/>
      </c>
      <c r="AV690" s="17"/>
    </row>
    <row r="691" spans="1:48" x14ac:dyDescent="0.25">
      <c r="A691" s="43" t="s">
        <v>374</v>
      </c>
      <c r="B691" s="52" t="s">
        <v>897</v>
      </c>
      <c r="C691" s="44"/>
      <c r="D691" s="43"/>
      <c r="E691" s="52" t="s">
        <v>898</v>
      </c>
      <c r="F691" s="46"/>
      <c r="G691" s="76" t="s">
        <v>1050</v>
      </c>
      <c r="H691" s="48" t="s">
        <v>1108</v>
      </c>
      <c r="I691" s="48"/>
      <c r="J691" s="84" t="s">
        <v>1131</v>
      </c>
      <c r="K691" s="85"/>
      <c r="L691" s="47" t="s">
        <v>567</v>
      </c>
      <c r="M691" s="3">
        <v>2.5</v>
      </c>
      <c r="N691" s="3">
        <f t="shared" si="776"/>
        <v>2.9000000000000004</v>
      </c>
      <c r="O691" s="22">
        <v>0.46500000000000002</v>
      </c>
      <c r="P691" s="23">
        <v>1</v>
      </c>
      <c r="Q691" s="3"/>
      <c r="R691" s="3"/>
      <c r="S691" s="3"/>
      <c r="T691" s="3"/>
      <c r="U691" s="3"/>
      <c r="V691" s="23"/>
      <c r="W691" s="3"/>
      <c r="X691" s="3"/>
      <c r="Y691" s="17"/>
      <c r="Z691" s="17"/>
      <c r="AA691" s="3"/>
      <c r="AB691" s="3"/>
      <c r="AC691" s="3"/>
      <c r="AD691" s="3"/>
      <c r="AE691" s="3"/>
      <c r="AF691" s="3"/>
      <c r="AG691" s="3"/>
      <c r="AH691" s="3"/>
      <c r="AI691" s="3"/>
      <c r="AJ691" s="3"/>
      <c r="AK691" s="12">
        <f t="shared" si="800"/>
        <v>7.2500000000000009</v>
      </c>
      <c r="AL691" s="12">
        <f t="shared" si="801"/>
        <v>7.2500000000000009</v>
      </c>
      <c r="AM691" s="12">
        <f t="shared" si="802"/>
        <v>3.3712500000000007</v>
      </c>
      <c r="AN691" s="12">
        <f t="shared" si="803"/>
        <v>3.3712500000000007</v>
      </c>
      <c r="AO691" s="12" t="str">
        <f t="shared" si="804"/>
        <v/>
      </c>
      <c r="AP691" s="12">
        <f t="shared" si="805"/>
        <v>2.5</v>
      </c>
      <c r="AQ691" s="12" t="str">
        <f t="shared" si="806"/>
        <v/>
      </c>
      <c r="AR691" s="12" t="str">
        <f t="shared" si="807"/>
        <v/>
      </c>
      <c r="AS691" s="12" t="str">
        <f t="shared" si="808"/>
        <v/>
      </c>
      <c r="AT691" s="12" t="str">
        <f t="shared" si="809"/>
        <v/>
      </c>
      <c r="AU691" s="12" t="str">
        <f t="shared" si="810"/>
        <v/>
      </c>
      <c r="AV691" s="17"/>
    </row>
    <row r="692" spans="1:48" x14ac:dyDescent="0.25">
      <c r="A692" s="43" t="s">
        <v>374</v>
      </c>
      <c r="B692" s="52" t="s">
        <v>885</v>
      </c>
      <c r="C692" s="44"/>
      <c r="D692" s="43"/>
      <c r="E692" s="52" t="s">
        <v>633</v>
      </c>
      <c r="F692" s="46"/>
      <c r="G692" s="76" t="s">
        <v>1051</v>
      </c>
      <c r="H692" s="48" t="s">
        <v>1115</v>
      </c>
      <c r="I692" s="48"/>
      <c r="J692" s="84" t="s">
        <v>1131</v>
      </c>
      <c r="K692" s="85"/>
      <c r="L692" s="47" t="s">
        <v>567</v>
      </c>
      <c r="M692" s="3">
        <v>2.15</v>
      </c>
      <c r="N692" s="3">
        <f t="shared" si="776"/>
        <v>2.9000000000000004</v>
      </c>
      <c r="O692" s="22">
        <v>0.26500000000000001</v>
      </c>
      <c r="P692" s="23">
        <v>1</v>
      </c>
      <c r="Q692" s="3"/>
      <c r="R692" s="3"/>
      <c r="S692" s="3"/>
      <c r="T692" s="3"/>
      <c r="U692" s="3"/>
      <c r="V692" s="23"/>
      <c r="W692" s="3"/>
      <c r="X692" s="3"/>
      <c r="Y692" s="17"/>
      <c r="Z692" s="17"/>
      <c r="AA692" s="3"/>
      <c r="AB692" s="3"/>
      <c r="AC692" s="3"/>
      <c r="AD692" s="3"/>
      <c r="AE692" s="3"/>
      <c r="AF692" s="3"/>
      <c r="AG692" s="3"/>
      <c r="AH692" s="3"/>
      <c r="AI692" s="3"/>
      <c r="AJ692" s="3"/>
      <c r="AK692" s="12">
        <f t="shared" si="800"/>
        <v>6.2350000000000003</v>
      </c>
      <c r="AL692" s="12">
        <f t="shared" si="801"/>
        <v>6.2350000000000003</v>
      </c>
      <c r="AM692" s="12">
        <f t="shared" si="802"/>
        <v>1.6522750000000002</v>
      </c>
      <c r="AN692" s="12">
        <f t="shared" si="803"/>
        <v>1.6522750000000002</v>
      </c>
      <c r="AO692" s="12" t="str">
        <f t="shared" si="804"/>
        <v/>
      </c>
      <c r="AP692" s="12">
        <f t="shared" si="805"/>
        <v>2.15</v>
      </c>
      <c r="AQ692" s="12" t="str">
        <f t="shared" si="806"/>
        <v/>
      </c>
      <c r="AR692" s="12" t="str">
        <f t="shared" si="807"/>
        <v/>
      </c>
      <c r="AS692" s="12" t="str">
        <f t="shared" si="808"/>
        <v/>
      </c>
      <c r="AT692" s="12" t="str">
        <f t="shared" si="809"/>
        <v/>
      </c>
      <c r="AU692" s="12" t="str">
        <f t="shared" si="810"/>
        <v/>
      </c>
      <c r="AV692" s="17"/>
    </row>
    <row r="693" spans="1:48" x14ac:dyDescent="0.25">
      <c r="A693" s="43"/>
      <c r="B693" s="52"/>
      <c r="C693" s="44"/>
      <c r="D693" s="43"/>
      <c r="E693" s="52"/>
      <c r="F693" s="46"/>
      <c r="G693" s="76"/>
      <c r="H693" s="48"/>
      <c r="I693" s="48"/>
      <c r="J693" s="84"/>
      <c r="K693" s="85"/>
      <c r="L693" s="47"/>
      <c r="M693" s="3"/>
      <c r="N693" s="3"/>
      <c r="O693" s="22"/>
      <c r="P693" s="23"/>
      <c r="Q693" s="3"/>
      <c r="R693" s="3"/>
      <c r="S693" s="3"/>
      <c r="T693" s="3"/>
      <c r="U693" s="3"/>
      <c r="V693" s="23"/>
      <c r="W693" s="3"/>
      <c r="X693" s="3"/>
      <c r="Y693" s="17"/>
      <c r="Z693" s="17"/>
      <c r="AA693" s="3"/>
      <c r="AB693" s="3"/>
      <c r="AC693" s="3"/>
      <c r="AD693" s="3"/>
      <c r="AE693" s="3"/>
      <c r="AF693" s="3"/>
      <c r="AG693" s="3"/>
      <c r="AH693" s="3"/>
      <c r="AI693" s="3"/>
      <c r="AJ693" s="3"/>
      <c r="AK693" s="12" t="str">
        <f t="shared" si="800"/>
        <v/>
      </c>
      <c r="AL693" s="12" t="str">
        <f t="shared" si="801"/>
        <v/>
      </c>
      <c r="AM693" s="12" t="str">
        <f t="shared" si="802"/>
        <v/>
      </c>
      <c r="AN693" s="12" t="str">
        <f t="shared" si="803"/>
        <v/>
      </c>
      <c r="AO693" s="12" t="str">
        <f t="shared" si="804"/>
        <v/>
      </c>
      <c r="AP693" s="12" t="str">
        <f t="shared" si="805"/>
        <v/>
      </c>
      <c r="AQ693" s="12" t="str">
        <f t="shared" si="806"/>
        <v/>
      </c>
      <c r="AR693" s="12" t="str">
        <f t="shared" si="807"/>
        <v/>
      </c>
      <c r="AS693" s="12" t="str">
        <f t="shared" si="808"/>
        <v/>
      </c>
      <c r="AT693" s="12" t="str">
        <f t="shared" si="809"/>
        <v/>
      </c>
      <c r="AU693" s="12" t="str">
        <f t="shared" si="810"/>
        <v/>
      </c>
      <c r="AV693" s="17"/>
    </row>
    <row r="694" spans="1:48" x14ac:dyDescent="0.25">
      <c r="A694" s="53" t="s">
        <v>474</v>
      </c>
      <c r="B694" s="52"/>
      <c r="C694" s="44"/>
      <c r="D694" s="43"/>
      <c r="E694" s="52"/>
      <c r="F694" s="46"/>
      <c r="G694" s="76"/>
      <c r="H694" s="48"/>
      <c r="I694" s="48"/>
      <c r="J694" s="84"/>
      <c r="K694" s="85"/>
      <c r="L694" s="47"/>
      <c r="M694" s="3"/>
      <c r="N694" s="3"/>
      <c r="O694" s="22"/>
      <c r="P694" s="23"/>
      <c r="Q694" s="3"/>
      <c r="R694" s="3"/>
      <c r="S694" s="3"/>
      <c r="T694" s="3"/>
      <c r="U694" s="3"/>
      <c r="V694" s="23"/>
      <c r="W694" s="3"/>
      <c r="X694" s="3"/>
      <c r="Y694" s="17"/>
      <c r="Z694" s="17"/>
      <c r="AA694" s="3"/>
      <c r="AB694" s="3"/>
      <c r="AC694" s="3"/>
      <c r="AD694" s="3"/>
      <c r="AE694" s="3"/>
      <c r="AF694" s="3"/>
      <c r="AG694" s="3"/>
      <c r="AH694" s="3"/>
      <c r="AI694" s="3"/>
      <c r="AJ694" s="3"/>
      <c r="AK694" s="12" t="str">
        <f t="shared" si="800"/>
        <v/>
      </c>
      <c r="AL694" s="12" t="str">
        <f t="shared" si="801"/>
        <v/>
      </c>
      <c r="AM694" s="12" t="str">
        <f t="shared" si="802"/>
        <v/>
      </c>
      <c r="AN694" s="12" t="str">
        <f t="shared" si="803"/>
        <v/>
      </c>
      <c r="AO694" s="12" t="str">
        <f t="shared" si="804"/>
        <v/>
      </c>
      <c r="AP694" s="12" t="str">
        <f t="shared" si="805"/>
        <v/>
      </c>
      <c r="AQ694" s="12" t="str">
        <f t="shared" si="806"/>
        <v/>
      </c>
      <c r="AR694" s="12" t="str">
        <f t="shared" si="807"/>
        <v/>
      </c>
      <c r="AS694" s="12" t="str">
        <f t="shared" si="808"/>
        <v/>
      </c>
      <c r="AT694" s="12" t="str">
        <f t="shared" si="809"/>
        <v/>
      </c>
      <c r="AU694" s="12" t="str">
        <f t="shared" si="810"/>
        <v/>
      </c>
      <c r="AV694" s="17"/>
    </row>
    <row r="695" spans="1:48" x14ac:dyDescent="0.25">
      <c r="A695" s="43" t="s">
        <v>441</v>
      </c>
      <c r="B695" s="52"/>
      <c r="C695" s="44"/>
      <c r="D695" s="43"/>
      <c r="E695" s="52"/>
      <c r="F695" s="46"/>
      <c r="G695" s="76" t="s">
        <v>443</v>
      </c>
      <c r="H695" s="48" t="s">
        <v>451</v>
      </c>
      <c r="I695" s="48"/>
      <c r="J695" s="84"/>
      <c r="K695" s="85"/>
      <c r="L695" s="47" t="s">
        <v>442</v>
      </c>
      <c r="M695" s="3">
        <v>39.85</v>
      </c>
      <c r="N695" s="3">
        <f>10.4-9.8</f>
        <v>0.59999999999999964</v>
      </c>
      <c r="O695" s="22">
        <v>0.15</v>
      </c>
      <c r="P695" s="23">
        <v>1</v>
      </c>
      <c r="Q695" s="3"/>
      <c r="R695" s="3"/>
      <c r="S695" s="3"/>
      <c r="T695" s="3"/>
      <c r="U695" s="3"/>
      <c r="V695" s="23"/>
      <c r="W695" s="3"/>
      <c r="X695" s="3"/>
      <c r="Y695" s="17"/>
      <c r="Z695" s="17"/>
      <c r="AA695" s="3"/>
      <c r="AB695" s="3"/>
      <c r="AC695" s="3">
        <f t="shared" ref="AC695:AC706" si="811">M695*N695*2</f>
        <v>47.819999999999972</v>
      </c>
      <c r="AD695" s="3"/>
      <c r="AE695" s="3"/>
      <c r="AF695" s="3"/>
      <c r="AG695" s="3"/>
      <c r="AH695" s="3"/>
      <c r="AI695" s="3"/>
      <c r="AJ695" s="3"/>
      <c r="AK695" s="12">
        <f t="shared" si="800"/>
        <v>23.909999999999986</v>
      </c>
      <c r="AL695" s="12">
        <f t="shared" si="801"/>
        <v>23.909999999999986</v>
      </c>
      <c r="AM695" s="12">
        <f t="shared" si="802"/>
        <v>3.5864999999999978</v>
      </c>
      <c r="AN695" s="12">
        <f t="shared" si="803"/>
        <v>3.5864999999999978</v>
      </c>
      <c r="AO695" s="12" t="str">
        <f t="shared" si="804"/>
        <v/>
      </c>
      <c r="AP695" s="12">
        <f t="shared" si="805"/>
        <v>39.85</v>
      </c>
      <c r="AQ695" s="12" t="str">
        <f t="shared" si="806"/>
        <v/>
      </c>
      <c r="AR695" s="12">
        <f t="shared" si="807"/>
        <v>47.819999999999972</v>
      </c>
      <c r="AS695" s="12" t="str">
        <f t="shared" si="808"/>
        <v/>
      </c>
      <c r="AT695" s="12" t="str">
        <f t="shared" si="809"/>
        <v/>
      </c>
      <c r="AU695" s="12" t="str">
        <f t="shared" si="810"/>
        <v/>
      </c>
      <c r="AV695" s="17"/>
    </row>
    <row r="696" spans="1:48" x14ac:dyDescent="0.25">
      <c r="A696" s="43" t="s">
        <v>441</v>
      </c>
      <c r="B696" s="52"/>
      <c r="C696" s="44"/>
      <c r="D696" s="43"/>
      <c r="E696" s="52"/>
      <c r="F696" s="46"/>
      <c r="G696" s="76" t="s">
        <v>444</v>
      </c>
      <c r="H696" s="48" t="s">
        <v>451</v>
      </c>
      <c r="I696" s="48"/>
      <c r="J696" s="84"/>
      <c r="K696" s="85"/>
      <c r="L696" s="47" t="s">
        <v>442</v>
      </c>
      <c r="M696" s="3">
        <f>19.96-0.3</f>
        <v>19.66</v>
      </c>
      <c r="N696" s="3">
        <f t="shared" ref="N696:N710" si="812">10.4-9.8</f>
        <v>0.59999999999999964</v>
      </c>
      <c r="O696" s="22">
        <v>0.15</v>
      </c>
      <c r="P696" s="23">
        <v>1</v>
      </c>
      <c r="Q696" s="3"/>
      <c r="R696" s="3"/>
      <c r="S696" s="3"/>
      <c r="T696" s="3"/>
      <c r="U696" s="3"/>
      <c r="V696" s="23"/>
      <c r="W696" s="3"/>
      <c r="X696" s="3"/>
      <c r="Y696" s="17"/>
      <c r="Z696" s="17"/>
      <c r="AA696" s="3"/>
      <c r="AB696" s="3"/>
      <c r="AC696" s="3">
        <f t="shared" si="811"/>
        <v>23.591999999999985</v>
      </c>
      <c r="AD696" s="3"/>
      <c r="AE696" s="3"/>
      <c r="AF696" s="3"/>
      <c r="AG696" s="3"/>
      <c r="AH696" s="3"/>
      <c r="AI696" s="3"/>
      <c r="AJ696" s="3"/>
      <c r="AK696" s="12">
        <f t="shared" si="800"/>
        <v>11.795999999999992</v>
      </c>
      <c r="AL696" s="12">
        <f t="shared" si="801"/>
        <v>11.795999999999992</v>
      </c>
      <c r="AM696" s="12">
        <f t="shared" si="802"/>
        <v>1.7693999999999988</v>
      </c>
      <c r="AN696" s="12">
        <f t="shared" si="803"/>
        <v>1.7693999999999988</v>
      </c>
      <c r="AO696" s="12" t="str">
        <f t="shared" si="804"/>
        <v/>
      </c>
      <c r="AP696" s="12">
        <f t="shared" si="805"/>
        <v>19.66</v>
      </c>
      <c r="AQ696" s="12" t="str">
        <f t="shared" si="806"/>
        <v/>
      </c>
      <c r="AR696" s="12">
        <f t="shared" si="807"/>
        <v>23.591999999999985</v>
      </c>
      <c r="AS696" s="12" t="str">
        <f t="shared" si="808"/>
        <v/>
      </c>
      <c r="AT696" s="12" t="str">
        <f t="shared" si="809"/>
        <v/>
      </c>
      <c r="AU696" s="12" t="str">
        <f t="shared" si="810"/>
        <v/>
      </c>
      <c r="AV696" s="17"/>
    </row>
    <row r="697" spans="1:48" x14ac:dyDescent="0.25">
      <c r="A697" s="43" t="s">
        <v>441</v>
      </c>
      <c r="B697" s="52"/>
      <c r="C697" s="44"/>
      <c r="D697" s="43"/>
      <c r="E697" s="52"/>
      <c r="F697" s="46"/>
      <c r="G697" s="76" t="s">
        <v>445</v>
      </c>
      <c r="H697" s="48" t="s">
        <v>451</v>
      </c>
      <c r="I697" s="48"/>
      <c r="J697" s="84"/>
      <c r="K697" s="85"/>
      <c r="L697" s="47" t="s">
        <v>442</v>
      </c>
      <c r="M697" s="3">
        <v>9.94</v>
      </c>
      <c r="N697" s="3">
        <f t="shared" si="812"/>
        <v>0.59999999999999964</v>
      </c>
      <c r="O697" s="22">
        <v>0.3</v>
      </c>
      <c r="P697" s="23">
        <v>1</v>
      </c>
      <c r="Q697" s="3"/>
      <c r="R697" s="3"/>
      <c r="S697" s="3"/>
      <c r="T697" s="3"/>
      <c r="U697" s="3"/>
      <c r="V697" s="23"/>
      <c r="W697" s="3"/>
      <c r="X697" s="3"/>
      <c r="Y697" s="17"/>
      <c r="Z697" s="17"/>
      <c r="AA697" s="3">
        <f>(0.3+0.15)*0.6</f>
        <v>0.26999999999999996</v>
      </c>
      <c r="AB697" s="3"/>
      <c r="AC697" s="3">
        <f t="shared" si="811"/>
        <v>11.927999999999992</v>
      </c>
      <c r="AD697" s="3"/>
      <c r="AE697" s="3"/>
      <c r="AF697" s="3"/>
      <c r="AG697" s="3"/>
      <c r="AH697" s="3"/>
      <c r="AI697" s="3"/>
      <c r="AJ697" s="3"/>
      <c r="AK697" s="12">
        <f t="shared" si="800"/>
        <v>5.963999999999996</v>
      </c>
      <c r="AL697" s="12">
        <f t="shared" si="801"/>
        <v>5.963999999999996</v>
      </c>
      <c r="AM697" s="12">
        <f t="shared" si="802"/>
        <v>1.7891999999999988</v>
      </c>
      <c r="AN697" s="12">
        <f t="shared" si="803"/>
        <v>1.7891999999999988</v>
      </c>
      <c r="AO697" s="12" t="str">
        <f t="shared" si="804"/>
        <v/>
      </c>
      <c r="AP697" s="12">
        <f t="shared" si="805"/>
        <v>9.94</v>
      </c>
      <c r="AQ697" s="12">
        <f t="shared" si="806"/>
        <v>0.26999999999999996</v>
      </c>
      <c r="AR697" s="12">
        <f t="shared" si="807"/>
        <v>11.927999999999992</v>
      </c>
      <c r="AS697" s="12" t="str">
        <f t="shared" si="808"/>
        <v/>
      </c>
      <c r="AT697" s="12" t="str">
        <f t="shared" si="809"/>
        <v/>
      </c>
      <c r="AU697" s="12" t="str">
        <f t="shared" si="810"/>
        <v/>
      </c>
      <c r="AV697" s="17"/>
    </row>
    <row r="698" spans="1:48" x14ac:dyDescent="0.25">
      <c r="A698" s="43" t="s">
        <v>441</v>
      </c>
      <c r="B698" s="52"/>
      <c r="C698" s="44"/>
      <c r="D698" s="43"/>
      <c r="E698" s="52"/>
      <c r="F698" s="46"/>
      <c r="G698" s="76" t="s">
        <v>446</v>
      </c>
      <c r="H698" s="48" t="s">
        <v>451</v>
      </c>
      <c r="I698" s="48"/>
      <c r="J698" s="84"/>
      <c r="K698" s="85"/>
      <c r="L698" s="47" t="s">
        <v>442</v>
      </c>
      <c r="M698" s="3">
        <v>19.61</v>
      </c>
      <c r="N698" s="3">
        <f t="shared" si="812"/>
        <v>0.59999999999999964</v>
      </c>
      <c r="O698" s="22">
        <v>0.15</v>
      </c>
      <c r="P698" s="23">
        <v>1</v>
      </c>
      <c r="Q698" s="3"/>
      <c r="R698" s="3"/>
      <c r="S698" s="3"/>
      <c r="T698" s="3"/>
      <c r="U698" s="3"/>
      <c r="V698" s="23"/>
      <c r="W698" s="3"/>
      <c r="X698" s="3"/>
      <c r="Y698" s="17"/>
      <c r="Z698" s="17"/>
      <c r="AA698" s="3"/>
      <c r="AB698" s="3"/>
      <c r="AC698" s="3">
        <f t="shared" si="811"/>
        <v>23.531999999999986</v>
      </c>
      <c r="AD698" s="3"/>
      <c r="AE698" s="3"/>
      <c r="AF698" s="3"/>
      <c r="AG698" s="3"/>
      <c r="AH698" s="3"/>
      <c r="AI698" s="3"/>
      <c r="AJ698" s="3"/>
      <c r="AK698" s="12">
        <f t="shared" si="800"/>
        <v>11.765999999999993</v>
      </c>
      <c r="AL698" s="12">
        <f t="shared" si="801"/>
        <v>11.765999999999993</v>
      </c>
      <c r="AM698" s="12">
        <f t="shared" si="802"/>
        <v>1.7648999999999988</v>
      </c>
      <c r="AN698" s="12">
        <f t="shared" si="803"/>
        <v>1.7648999999999988</v>
      </c>
      <c r="AO698" s="12" t="str">
        <f t="shared" si="804"/>
        <v/>
      </c>
      <c r="AP698" s="12">
        <f t="shared" si="805"/>
        <v>19.61</v>
      </c>
      <c r="AQ698" s="12" t="str">
        <f t="shared" si="806"/>
        <v/>
      </c>
      <c r="AR698" s="12">
        <f t="shared" si="807"/>
        <v>23.531999999999986</v>
      </c>
      <c r="AS698" s="12" t="str">
        <f t="shared" si="808"/>
        <v/>
      </c>
      <c r="AT698" s="12" t="str">
        <f t="shared" si="809"/>
        <v/>
      </c>
      <c r="AU698" s="12" t="str">
        <f t="shared" si="810"/>
        <v/>
      </c>
      <c r="AV698" s="17"/>
    </row>
    <row r="699" spans="1:48" x14ac:dyDescent="0.25">
      <c r="A699" s="43" t="s">
        <v>441</v>
      </c>
      <c r="B699" s="52"/>
      <c r="C699" s="44"/>
      <c r="D699" s="43"/>
      <c r="E699" s="52"/>
      <c r="F699" s="46"/>
      <c r="G699" s="76" t="s">
        <v>447</v>
      </c>
      <c r="H699" s="48" t="s">
        <v>451</v>
      </c>
      <c r="I699" s="48"/>
      <c r="J699" s="84"/>
      <c r="K699" s="85"/>
      <c r="L699" s="47" t="s">
        <v>442</v>
      </c>
      <c r="M699" s="3">
        <f>27.4-0.15*2</f>
        <v>27.099999999999998</v>
      </c>
      <c r="N699" s="3">
        <f t="shared" si="812"/>
        <v>0.59999999999999964</v>
      </c>
      <c r="O699" s="22">
        <v>0.15</v>
      </c>
      <c r="P699" s="23">
        <v>1</v>
      </c>
      <c r="Q699" s="3"/>
      <c r="R699" s="3"/>
      <c r="S699" s="3"/>
      <c r="T699" s="3"/>
      <c r="U699" s="3"/>
      <c r="V699" s="23"/>
      <c r="W699" s="3"/>
      <c r="X699" s="3"/>
      <c r="Y699" s="17"/>
      <c r="Z699" s="17"/>
      <c r="AA699" s="3"/>
      <c r="AB699" s="3"/>
      <c r="AC699" s="3">
        <f t="shared" si="811"/>
        <v>32.519999999999975</v>
      </c>
      <c r="AD699" s="3"/>
      <c r="AE699" s="3"/>
      <c r="AF699" s="3"/>
      <c r="AG699" s="3"/>
      <c r="AH699" s="3"/>
      <c r="AI699" s="3"/>
      <c r="AJ699" s="3"/>
      <c r="AK699" s="12">
        <f t="shared" si="371"/>
        <v>16.259999999999987</v>
      </c>
      <c r="AL699" s="12">
        <f t="shared" si="372"/>
        <v>16.259999999999987</v>
      </c>
      <c r="AM699" s="12">
        <f t="shared" si="373"/>
        <v>2.4389999999999978</v>
      </c>
      <c r="AN699" s="12">
        <f t="shared" si="374"/>
        <v>2.4389999999999978</v>
      </c>
      <c r="AO699" s="12" t="str">
        <f t="shared" si="375"/>
        <v/>
      </c>
      <c r="AP699" s="12">
        <f t="shared" si="376"/>
        <v>27.099999999999998</v>
      </c>
      <c r="AQ699" s="12" t="str">
        <f t="shared" si="377"/>
        <v/>
      </c>
      <c r="AR699" s="12">
        <f t="shared" si="378"/>
        <v>32.519999999999975</v>
      </c>
      <c r="AS699" s="12" t="str">
        <f t="shared" ref="AS699:AS716" si="813">IF((AE699*AH699*AI699)*P699=0,"",(AE699*AH699*AI699)*P699)</f>
        <v/>
      </c>
      <c r="AT699" s="12" t="str">
        <f t="shared" ref="AT699:AT716" si="814">IF(AJ699*P699=0,"",AJ699*P699)</f>
        <v/>
      </c>
      <c r="AU699" s="12" t="str">
        <f t="shared" si="788"/>
        <v/>
      </c>
      <c r="AV699" s="17"/>
    </row>
    <row r="700" spans="1:48" x14ac:dyDescent="0.25">
      <c r="A700" s="43" t="s">
        <v>441</v>
      </c>
      <c r="B700" s="52"/>
      <c r="C700" s="44"/>
      <c r="D700" s="43"/>
      <c r="E700" s="52"/>
      <c r="F700" s="46"/>
      <c r="G700" s="76" t="s">
        <v>448</v>
      </c>
      <c r="H700" s="48" t="s">
        <v>451</v>
      </c>
      <c r="I700" s="48"/>
      <c r="J700" s="84"/>
      <c r="K700" s="85"/>
      <c r="L700" s="47" t="s">
        <v>442</v>
      </c>
      <c r="M700" s="3">
        <v>39.700000000000003</v>
      </c>
      <c r="N700" s="3">
        <f t="shared" si="812"/>
        <v>0.59999999999999964</v>
      </c>
      <c r="O700" s="22">
        <v>0.15</v>
      </c>
      <c r="P700" s="23">
        <v>1</v>
      </c>
      <c r="Q700" s="3"/>
      <c r="R700" s="3"/>
      <c r="S700" s="3"/>
      <c r="T700" s="3"/>
      <c r="U700" s="3"/>
      <c r="V700" s="23"/>
      <c r="W700" s="3"/>
      <c r="X700" s="3"/>
      <c r="Y700" s="17"/>
      <c r="Z700" s="17"/>
      <c r="AA700" s="3"/>
      <c r="AB700" s="3"/>
      <c r="AC700" s="3">
        <f t="shared" si="811"/>
        <v>47.639999999999972</v>
      </c>
      <c r="AD700" s="3"/>
      <c r="AE700" s="3"/>
      <c r="AF700" s="3"/>
      <c r="AG700" s="3"/>
      <c r="AH700" s="3"/>
      <c r="AI700" s="3"/>
      <c r="AJ700" s="3"/>
      <c r="AK700" s="12">
        <f t="shared" si="28"/>
        <v>23.819999999999986</v>
      </c>
      <c r="AL700" s="12">
        <f t="shared" si="29"/>
        <v>23.819999999999986</v>
      </c>
      <c r="AM700" s="12">
        <f t="shared" si="30"/>
        <v>3.5729999999999977</v>
      </c>
      <c r="AN700" s="12">
        <f t="shared" si="31"/>
        <v>3.5729999999999977</v>
      </c>
      <c r="AO700" s="12" t="str">
        <f t="shared" si="32"/>
        <v/>
      </c>
      <c r="AP700" s="12">
        <f t="shared" si="33"/>
        <v>39.700000000000003</v>
      </c>
      <c r="AQ700" s="12" t="str">
        <f t="shared" si="34"/>
        <v/>
      </c>
      <c r="AR700" s="12">
        <f t="shared" si="35"/>
        <v>47.639999999999972</v>
      </c>
      <c r="AS700" s="12" t="str">
        <f t="shared" si="813"/>
        <v/>
      </c>
      <c r="AT700" s="12" t="str">
        <f t="shared" si="814"/>
        <v/>
      </c>
      <c r="AU700" s="12" t="str">
        <f t="shared" si="788"/>
        <v/>
      </c>
      <c r="AV700" s="17"/>
    </row>
    <row r="701" spans="1:48" x14ac:dyDescent="0.25">
      <c r="A701" s="43" t="s">
        <v>441</v>
      </c>
      <c r="B701" s="52"/>
      <c r="C701" s="44"/>
      <c r="D701" s="43"/>
      <c r="E701" s="52"/>
      <c r="F701" s="46"/>
      <c r="G701" s="76" t="s">
        <v>449</v>
      </c>
      <c r="H701" s="48" t="s">
        <v>451</v>
      </c>
      <c r="I701" s="48"/>
      <c r="J701" s="84"/>
      <c r="K701" s="85"/>
      <c r="L701" s="47" t="s">
        <v>442</v>
      </c>
      <c r="M701" s="3">
        <v>9.81</v>
      </c>
      <c r="N701" s="3">
        <f t="shared" si="812"/>
        <v>0.59999999999999964</v>
      </c>
      <c r="O701" s="22">
        <v>0.15</v>
      </c>
      <c r="P701" s="23">
        <v>1</v>
      </c>
      <c r="Q701" s="3"/>
      <c r="R701" s="3"/>
      <c r="S701" s="3"/>
      <c r="T701" s="3"/>
      <c r="U701" s="3"/>
      <c r="V701" s="23"/>
      <c r="W701" s="3"/>
      <c r="X701" s="3"/>
      <c r="Y701" s="17"/>
      <c r="Z701" s="17"/>
      <c r="AA701" s="3"/>
      <c r="AB701" s="3"/>
      <c r="AC701" s="3">
        <f t="shared" si="811"/>
        <v>11.771999999999993</v>
      </c>
      <c r="AD701" s="3"/>
      <c r="AE701" s="3"/>
      <c r="AF701" s="3"/>
      <c r="AG701" s="3"/>
      <c r="AH701" s="3"/>
      <c r="AI701" s="3"/>
      <c r="AJ701" s="3"/>
      <c r="AK701" s="12">
        <f t="shared" ref="AK701" si="815">IF(((M701*N701)-Q701-R701-S701+T701+U701)=0,"",((M701*N701)-Q701-R701-S701+T701+U701))</f>
        <v>5.8859999999999966</v>
      </c>
      <c r="AL701" s="12">
        <f t="shared" ref="AL701" si="816">IF(PRODUCT(P701,AK701)=0,"",P701*AK701)</f>
        <v>5.8859999999999966</v>
      </c>
      <c r="AM701" s="12">
        <f t="shared" ref="AM701" si="817">IF(PRODUCT(AK701,O701)=0,"",AK701*O701)</f>
        <v>0.88289999999999946</v>
      </c>
      <c r="AN701" s="12">
        <f t="shared" ref="AN701" si="818">IF(PRODUCT(AM701,P701)=0,"",AM701*P701)</f>
        <v>0.88289999999999946</v>
      </c>
      <c r="AO701" s="12" t="str">
        <f t="shared" ref="AO701" si="819">IF(N701*V701-W701+X701=0,"",N701*V701-W701+X701)</f>
        <v/>
      </c>
      <c r="AP701" s="12">
        <f t="shared" ref="AP701" si="820">IF(PRODUCT(M701,P701)=0,"",M701*P701)</f>
        <v>9.81</v>
      </c>
      <c r="AQ701" s="12" t="str">
        <f t="shared" ref="AQ701" si="821">IF(AA701+AB701=0,"",AA701+AB701)</f>
        <v/>
      </c>
      <c r="AR701" s="12">
        <f t="shared" ref="AR701" si="822">IF(AC701+AD701=0,"",AC701+AD701)</f>
        <v>11.771999999999993</v>
      </c>
      <c r="AS701" s="12" t="str">
        <f t="shared" si="813"/>
        <v/>
      </c>
      <c r="AT701" s="12" t="str">
        <f t="shared" si="814"/>
        <v/>
      </c>
      <c r="AU701" s="12" t="str">
        <f t="shared" si="788"/>
        <v/>
      </c>
      <c r="AV701" s="17"/>
    </row>
    <row r="702" spans="1:48" x14ac:dyDescent="0.25">
      <c r="A702" s="43" t="s">
        <v>441</v>
      </c>
      <c r="B702" s="52"/>
      <c r="C702" s="44"/>
      <c r="D702" s="43"/>
      <c r="E702" s="52"/>
      <c r="F702" s="46"/>
      <c r="G702" s="76" t="s">
        <v>452</v>
      </c>
      <c r="H702" s="48" t="s">
        <v>451</v>
      </c>
      <c r="I702" s="48"/>
      <c r="J702" s="84"/>
      <c r="K702" s="85"/>
      <c r="L702" s="47" t="s">
        <v>442</v>
      </c>
      <c r="M702" s="3">
        <v>9.19</v>
      </c>
      <c r="N702" s="3">
        <f t="shared" si="812"/>
        <v>0.59999999999999964</v>
      </c>
      <c r="O702" s="22">
        <v>0.3</v>
      </c>
      <c r="P702" s="23">
        <v>1</v>
      </c>
      <c r="Q702" s="3"/>
      <c r="R702" s="3"/>
      <c r="S702" s="3"/>
      <c r="T702" s="3"/>
      <c r="U702" s="3"/>
      <c r="V702" s="23"/>
      <c r="W702" s="3"/>
      <c r="X702" s="3"/>
      <c r="Y702" s="17"/>
      <c r="Z702" s="17"/>
      <c r="AA702" s="3">
        <f>(0.3+0.15)*0.6</f>
        <v>0.26999999999999996</v>
      </c>
      <c r="AB702" s="3"/>
      <c r="AC702" s="3">
        <f t="shared" si="811"/>
        <v>11.027999999999993</v>
      </c>
      <c r="AD702" s="3"/>
      <c r="AE702" s="3"/>
      <c r="AF702" s="3"/>
      <c r="AG702" s="3"/>
      <c r="AH702" s="3"/>
      <c r="AI702" s="3"/>
      <c r="AJ702" s="3"/>
      <c r="AK702" s="12">
        <f t="shared" si="28"/>
        <v>5.5139999999999967</v>
      </c>
      <c r="AL702" s="12">
        <f t="shared" si="29"/>
        <v>5.5139999999999967</v>
      </c>
      <c r="AM702" s="12">
        <f t="shared" si="30"/>
        <v>1.654199999999999</v>
      </c>
      <c r="AN702" s="12">
        <f t="shared" si="31"/>
        <v>1.654199999999999</v>
      </c>
      <c r="AO702" s="12" t="str">
        <f t="shared" si="32"/>
        <v/>
      </c>
      <c r="AP702" s="12">
        <f t="shared" si="33"/>
        <v>9.19</v>
      </c>
      <c r="AQ702" s="12">
        <f t="shared" si="34"/>
        <v>0.26999999999999996</v>
      </c>
      <c r="AR702" s="12">
        <f t="shared" si="35"/>
        <v>11.027999999999993</v>
      </c>
      <c r="AS702" s="12" t="str">
        <f t="shared" si="813"/>
        <v/>
      </c>
      <c r="AT702" s="12" t="str">
        <f t="shared" si="814"/>
        <v/>
      </c>
      <c r="AU702" s="12" t="str">
        <f t="shared" si="788"/>
        <v/>
      </c>
      <c r="AV702" s="17"/>
    </row>
    <row r="703" spans="1:48" x14ac:dyDescent="0.25">
      <c r="A703" s="43" t="s">
        <v>441</v>
      </c>
      <c r="B703" s="52"/>
      <c r="C703" s="44"/>
      <c r="D703" s="43"/>
      <c r="E703" s="52"/>
      <c r="F703" s="46"/>
      <c r="G703" s="76" t="s">
        <v>453</v>
      </c>
      <c r="H703" s="48" t="s">
        <v>451</v>
      </c>
      <c r="I703" s="48"/>
      <c r="J703" s="84"/>
      <c r="K703" s="85"/>
      <c r="L703" s="47" t="s">
        <v>442</v>
      </c>
      <c r="M703" s="3">
        <f>7-0.3</f>
        <v>6.7</v>
      </c>
      <c r="N703" s="3">
        <f t="shared" si="812"/>
        <v>0.59999999999999964</v>
      </c>
      <c r="O703" s="22">
        <v>0.15</v>
      </c>
      <c r="P703" s="23">
        <v>1</v>
      </c>
      <c r="Q703" s="3"/>
      <c r="R703" s="3"/>
      <c r="S703" s="3"/>
      <c r="T703" s="3"/>
      <c r="U703" s="3"/>
      <c r="V703" s="23"/>
      <c r="W703" s="3"/>
      <c r="X703" s="3"/>
      <c r="Y703" s="17"/>
      <c r="Z703" s="17"/>
      <c r="AA703" s="3"/>
      <c r="AB703" s="3"/>
      <c r="AC703" s="3">
        <f t="shared" si="811"/>
        <v>8.0399999999999956</v>
      </c>
      <c r="AD703" s="3"/>
      <c r="AE703" s="3"/>
      <c r="AF703" s="3"/>
      <c r="AG703" s="3"/>
      <c r="AH703" s="3"/>
      <c r="AI703" s="3"/>
      <c r="AJ703" s="3"/>
      <c r="AK703" s="12">
        <f t="shared" ref="AK703:AK711" si="823">IF(((M703*N703)-Q703-R703-S703+T703+U703)=0,"",((M703*N703)-Q703-R703-S703+T703+U703))</f>
        <v>4.0199999999999978</v>
      </c>
      <c r="AL703" s="12">
        <f t="shared" ref="AL703:AL711" si="824">IF(PRODUCT(P703,AK703)=0,"",P703*AK703)</f>
        <v>4.0199999999999978</v>
      </c>
      <c r="AM703" s="12">
        <f t="shared" ref="AM703:AM711" si="825">IF(PRODUCT(AK703,O703)=0,"",AK703*O703)</f>
        <v>0.60299999999999965</v>
      </c>
      <c r="AN703" s="12">
        <f t="shared" ref="AN703:AN711" si="826">IF(PRODUCT(AM703,P703)=0,"",AM703*P703)</f>
        <v>0.60299999999999965</v>
      </c>
      <c r="AO703" s="12" t="str">
        <f t="shared" ref="AO703:AO711" si="827">IF(N703*V703-W703+X703=0,"",N703*V703-W703+X703)</f>
        <v/>
      </c>
      <c r="AP703" s="12">
        <f t="shared" ref="AP703:AP711" si="828">IF(PRODUCT(M703,P703)=0,"",M703*P703)</f>
        <v>6.7</v>
      </c>
      <c r="AQ703" s="12" t="str">
        <f t="shared" ref="AQ703:AQ711" si="829">IF(AA703+AB703=0,"",AA703+AB703)</f>
        <v/>
      </c>
      <c r="AR703" s="12">
        <f t="shared" ref="AR703:AR711" si="830">IF(AC703+AD703=0,"",AC703+AD703)</f>
        <v>8.0399999999999956</v>
      </c>
      <c r="AS703" s="12" t="str">
        <f t="shared" si="813"/>
        <v/>
      </c>
      <c r="AT703" s="12" t="str">
        <f t="shared" si="814"/>
        <v/>
      </c>
      <c r="AU703" s="12" t="str">
        <f t="shared" si="788"/>
        <v/>
      </c>
      <c r="AV703" s="17"/>
    </row>
    <row r="704" spans="1:48" x14ac:dyDescent="0.25">
      <c r="A704" s="43" t="s">
        <v>441</v>
      </c>
      <c r="B704" s="52"/>
      <c r="C704" s="44"/>
      <c r="D704" s="43"/>
      <c r="E704" s="52"/>
      <c r="F704" s="46"/>
      <c r="G704" s="76" t="s">
        <v>454</v>
      </c>
      <c r="H704" s="48" t="s">
        <v>451</v>
      </c>
      <c r="I704" s="48"/>
      <c r="J704" s="84"/>
      <c r="K704" s="85"/>
      <c r="L704" s="47" t="s">
        <v>442</v>
      </c>
      <c r="M704" s="3">
        <v>11.68</v>
      </c>
      <c r="N704" s="3">
        <f t="shared" si="812"/>
        <v>0.59999999999999964</v>
      </c>
      <c r="O704" s="22">
        <v>0.3</v>
      </c>
      <c r="P704" s="23">
        <v>1</v>
      </c>
      <c r="Q704" s="3"/>
      <c r="R704" s="3"/>
      <c r="S704" s="3"/>
      <c r="T704" s="3"/>
      <c r="U704" s="3"/>
      <c r="V704" s="23"/>
      <c r="W704" s="3"/>
      <c r="X704" s="3"/>
      <c r="Y704" s="17"/>
      <c r="Z704" s="17"/>
      <c r="AA704" s="3">
        <f>0.15*2*0.6</f>
        <v>0.18</v>
      </c>
      <c r="AB704" s="3"/>
      <c r="AC704" s="3">
        <f t="shared" si="811"/>
        <v>14.015999999999991</v>
      </c>
      <c r="AD704" s="3"/>
      <c r="AE704" s="3"/>
      <c r="AF704" s="3"/>
      <c r="AG704" s="3"/>
      <c r="AH704" s="3"/>
      <c r="AI704" s="3"/>
      <c r="AJ704" s="3"/>
      <c r="AK704" s="12">
        <f t="shared" si="823"/>
        <v>7.0079999999999956</v>
      </c>
      <c r="AL704" s="12">
        <f t="shared" si="824"/>
        <v>7.0079999999999956</v>
      </c>
      <c r="AM704" s="12">
        <f t="shared" si="825"/>
        <v>2.1023999999999985</v>
      </c>
      <c r="AN704" s="12">
        <f t="shared" si="826"/>
        <v>2.1023999999999985</v>
      </c>
      <c r="AO704" s="12" t="str">
        <f t="shared" si="827"/>
        <v/>
      </c>
      <c r="AP704" s="12">
        <f t="shared" si="828"/>
        <v>11.68</v>
      </c>
      <c r="AQ704" s="12">
        <f t="shared" si="829"/>
        <v>0.18</v>
      </c>
      <c r="AR704" s="12">
        <f t="shared" si="830"/>
        <v>14.015999999999991</v>
      </c>
      <c r="AS704" s="12" t="str">
        <f t="shared" si="813"/>
        <v/>
      </c>
      <c r="AT704" s="12" t="str">
        <f t="shared" si="814"/>
        <v/>
      </c>
      <c r="AU704" s="12" t="str">
        <f t="shared" si="788"/>
        <v/>
      </c>
      <c r="AV704" s="17"/>
    </row>
    <row r="705" spans="1:48" x14ac:dyDescent="0.25">
      <c r="A705" s="43" t="s">
        <v>441</v>
      </c>
      <c r="B705" s="52"/>
      <c r="C705" s="44"/>
      <c r="D705" s="43"/>
      <c r="E705" s="52"/>
      <c r="F705" s="46"/>
      <c r="G705" s="76" t="s">
        <v>455</v>
      </c>
      <c r="H705" s="48" t="s">
        <v>451</v>
      </c>
      <c r="I705" s="48"/>
      <c r="J705" s="84"/>
      <c r="K705" s="85"/>
      <c r="L705" s="47" t="s">
        <v>442</v>
      </c>
      <c r="M705" s="3">
        <v>11.16</v>
      </c>
      <c r="N705" s="3">
        <f t="shared" si="812"/>
        <v>0.59999999999999964</v>
      </c>
      <c r="O705" s="22">
        <v>0.15</v>
      </c>
      <c r="P705" s="23">
        <v>1</v>
      </c>
      <c r="Q705" s="3"/>
      <c r="R705" s="3"/>
      <c r="S705" s="3"/>
      <c r="T705" s="3"/>
      <c r="U705" s="3"/>
      <c r="V705" s="23"/>
      <c r="W705" s="3"/>
      <c r="X705" s="3"/>
      <c r="Y705" s="17"/>
      <c r="Z705" s="17"/>
      <c r="AA705" s="3"/>
      <c r="AB705" s="3"/>
      <c r="AC705" s="3">
        <f t="shared" si="811"/>
        <v>13.391999999999992</v>
      </c>
      <c r="AD705" s="3"/>
      <c r="AE705" s="3"/>
      <c r="AF705" s="3"/>
      <c r="AG705" s="3"/>
      <c r="AH705" s="3"/>
      <c r="AI705" s="3"/>
      <c r="AJ705" s="3"/>
      <c r="AK705" s="12">
        <f t="shared" si="823"/>
        <v>6.6959999999999962</v>
      </c>
      <c r="AL705" s="12">
        <f t="shared" si="824"/>
        <v>6.6959999999999962</v>
      </c>
      <c r="AM705" s="12">
        <f t="shared" si="825"/>
        <v>1.0043999999999993</v>
      </c>
      <c r="AN705" s="12">
        <f t="shared" si="826"/>
        <v>1.0043999999999993</v>
      </c>
      <c r="AO705" s="12" t="str">
        <f t="shared" si="827"/>
        <v/>
      </c>
      <c r="AP705" s="12">
        <f t="shared" si="828"/>
        <v>11.16</v>
      </c>
      <c r="AQ705" s="12" t="str">
        <f t="shared" si="829"/>
        <v/>
      </c>
      <c r="AR705" s="12">
        <f t="shared" si="830"/>
        <v>13.391999999999992</v>
      </c>
      <c r="AS705" s="12" t="str">
        <f t="shared" si="813"/>
        <v/>
      </c>
      <c r="AT705" s="12" t="str">
        <f t="shared" si="814"/>
        <v/>
      </c>
      <c r="AU705" s="12" t="str">
        <f t="shared" si="788"/>
        <v/>
      </c>
      <c r="AV705" s="17"/>
    </row>
    <row r="706" spans="1:48" x14ac:dyDescent="0.25">
      <c r="A706" s="43" t="s">
        <v>441</v>
      </c>
      <c r="B706" s="52"/>
      <c r="C706" s="44"/>
      <c r="D706" s="43"/>
      <c r="E706" s="52"/>
      <c r="F706" s="46"/>
      <c r="G706" s="76" t="s">
        <v>456</v>
      </c>
      <c r="H706" s="48" t="s">
        <v>451</v>
      </c>
      <c r="I706" s="48"/>
      <c r="J706" s="84"/>
      <c r="K706" s="85"/>
      <c r="L706" s="47" t="s">
        <v>442</v>
      </c>
      <c r="M706" s="3">
        <f>28.2-0.15*2</f>
        <v>27.9</v>
      </c>
      <c r="N706" s="3">
        <f t="shared" si="812"/>
        <v>0.59999999999999964</v>
      </c>
      <c r="O706" s="22">
        <v>0.15</v>
      </c>
      <c r="P706" s="23">
        <v>1</v>
      </c>
      <c r="Q706" s="3"/>
      <c r="R706" s="3"/>
      <c r="S706" s="3"/>
      <c r="T706" s="3"/>
      <c r="U706" s="3"/>
      <c r="V706" s="23"/>
      <c r="W706" s="3"/>
      <c r="X706" s="3"/>
      <c r="Y706" s="17"/>
      <c r="Z706" s="17"/>
      <c r="AA706" s="3"/>
      <c r="AB706" s="3"/>
      <c r="AC706" s="3">
        <f t="shared" si="811"/>
        <v>33.479999999999976</v>
      </c>
      <c r="AD706" s="3"/>
      <c r="AE706" s="3"/>
      <c r="AF706" s="3"/>
      <c r="AG706" s="3"/>
      <c r="AH706" s="3"/>
      <c r="AI706" s="3"/>
      <c r="AJ706" s="3"/>
      <c r="AK706" s="12">
        <f t="shared" si="823"/>
        <v>16.739999999999988</v>
      </c>
      <c r="AL706" s="12">
        <f t="shared" si="824"/>
        <v>16.739999999999988</v>
      </c>
      <c r="AM706" s="12">
        <f t="shared" si="825"/>
        <v>2.5109999999999979</v>
      </c>
      <c r="AN706" s="12">
        <f t="shared" si="826"/>
        <v>2.5109999999999979</v>
      </c>
      <c r="AO706" s="12" t="str">
        <f t="shared" si="827"/>
        <v/>
      </c>
      <c r="AP706" s="12">
        <f t="shared" si="828"/>
        <v>27.9</v>
      </c>
      <c r="AQ706" s="12" t="str">
        <f t="shared" si="829"/>
        <v/>
      </c>
      <c r="AR706" s="12">
        <f t="shared" si="830"/>
        <v>33.479999999999976</v>
      </c>
      <c r="AS706" s="12" t="str">
        <f t="shared" si="813"/>
        <v/>
      </c>
      <c r="AT706" s="12" t="str">
        <f t="shared" si="814"/>
        <v/>
      </c>
      <c r="AU706" s="12" t="str">
        <f t="shared" si="788"/>
        <v/>
      </c>
      <c r="AV706" s="17"/>
    </row>
    <row r="707" spans="1:48" x14ac:dyDescent="0.25">
      <c r="A707" s="43" t="s">
        <v>441</v>
      </c>
      <c r="B707" s="52"/>
      <c r="C707" s="44"/>
      <c r="D707" s="43"/>
      <c r="E707" s="52"/>
      <c r="F707" s="46"/>
      <c r="G707" s="76" t="s">
        <v>457</v>
      </c>
      <c r="H707" s="48" t="s">
        <v>451</v>
      </c>
      <c r="I707" s="48"/>
      <c r="J707" s="84"/>
      <c r="K707" s="85"/>
      <c r="L707" s="47" t="s">
        <v>442</v>
      </c>
      <c r="M707" s="3">
        <f>11.3+0.2*2</f>
        <v>11.700000000000001</v>
      </c>
      <c r="N707" s="3">
        <f t="shared" si="812"/>
        <v>0.59999999999999964</v>
      </c>
      <c r="O707" s="22">
        <v>0.16</v>
      </c>
      <c r="P707" s="23">
        <v>2</v>
      </c>
      <c r="Q707" s="3"/>
      <c r="R707" s="3"/>
      <c r="S707" s="3"/>
      <c r="T707" s="3"/>
      <c r="U707" s="3"/>
      <c r="V707" s="23"/>
      <c r="W707" s="3"/>
      <c r="X707" s="3"/>
      <c r="Y707" s="17"/>
      <c r="Z707" s="17"/>
      <c r="AA707" s="3"/>
      <c r="AB707" s="3"/>
      <c r="AC707" s="3">
        <f>M707*N707*2*P707</f>
        <v>28.079999999999988</v>
      </c>
      <c r="AD707" s="3"/>
      <c r="AE707" s="3"/>
      <c r="AF707" s="3"/>
      <c r="AG707" s="3"/>
      <c r="AH707" s="3"/>
      <c r="AI707" s="3"/>
      <c r="AJ707" s="3"/>
      <c r="AK707" s="12">
        <f t="shared" si="823"/>
        <v>7.0199999999999969</v>
      </c>
      <c r="AL707" s="12">
        <f t="shared" si="824"/>
        <v>14.039999999999994</v>
      </c>
      <c r="AM707" s="12">
        <f t="shared" si="825"/>
        <v>1.1231999999999995</v>
      </c>
      <c r="AN707" s="12">
        <f t="shared" si="826"/>
        <v>2.2463999999999991</v>
      </c>
      <c r="AO707" s="12" t="str">
        <f t="shared" si="827"/>
        <v/>
      </c>
      <c r="AP707" s="12">
        <f t="shared" si="828"/>
        <v>23.400000000000002</v>
      </c>
      <c r="AQ707" s="12" t="str">
        <f t="shared" si="829"/>
        <v/>
      </c>
      <c r="AR707" s="12">
        <f t="shared" si="830"/>
        <v>28.079999999999988</v>
      </c>
      <c r="AS707" s="12" t="str">
        <f t="shared" si="813"/>
        <v/>
      </c>
      <c r="AT707" s="12" t="str">
        <f t="shared" si="814"/>
        <v/>
      </c>
      <c r="AU707" s="12" t="str">
        <f t="shared" si="788"/>
        <v/>
      </c>
      <c r="AV707" s="17"/>
    </row>
    <row r="708" spans="1:48" x14ac:dyDescent="0.25">
      <c r="A708" s="43" t="s">
        <v>441</v>
      </c>
      <c r="B708" s="52"/>
      <c r="C708" s="44"/>
      <c r="D708" s="43"/>
      <c r="E708" s="52"/>
      <c r="F708" s="46"/>
      <c r="G708" s="76" t="s">
        <v>458</v>
      </c>
      <c r="H708" s="48" t="s">
        <v>451</v>
      </c>
      <c r="I708" s="48"/>
      <c r="J708" s="84"/>
      <c r="K708" s="85"/>
      <c r="L708" s="47" t="s">
        <v>442</v>
      </c>
      <c r="M708" s="3">
        <f>6.7+0.2*2-0.16*2</f>
        <v>6.78</v>
      </c>
      <c r="N708" s="3">
        <f t="shared" si="812"/>
        <v>0.59999999999999964</v>
      </c>
      <c r="O708" s="22">
        <v>0.16</v>
      </c>
      <c r="P708" s="23">
        <v>2</v>
      </c>
      <c r="Q708" s="3"/>
      <c r="R708" s="3"/>
      <c r="S708" s="3"/>
      <c r="T708" s="3"/>
      <c r="U708" s="3"/>
      <c r="V708" s="23"/>
      <c r="W708" s="3"/>
      <c r="X708" s="3"/>
      <c r="Y708" s="17"/>
      <c r="Z708" s="17"/>
      <c r="AA708" s="3"/>
      <c r="AB708" s="3"/>
      <c r="AC708" s="3">
        <f>M708*N708*2*P708</f>
        <v>16.271999999999991</v>
      </c>
      <c r="AD708" s="3"/>
      <c r="AE708" s="3"/>
      <c r="AF708" s="3"/>
      <c r="AG708" s="3"/>
      <c r="AH708" s="3"/>
      <c r="AI708" s="3"/>
      <c r="AJ708" s="3"/>
      <c r="AK708" s="12">
        <f t="shared" si="823"/>
        <v>4.0679999999999978</v>
      </c>
      <c r="AL708" s="12">
        <f t="shared" si="824"/>
        <v>8.1359999999999957</v>
      </c>
      <c r="AM708" s="12">
        <f t="shared" si="825"/>
        <v>0.65087999999999968</v>
      </c>
      <c r="AN708" s="12">
        <f t="shared" si="826"/>
        <v>1.3017599999999994</v>
      </c>
      <c r="AO708" s="12" t="str">
        <f t="shared" si="827"/>
        <v/>
      </c>
      <c r="AP708" s="12">
        <f t="shared" si="828"/>
        <v>13.56</v>
      </c>
      <c r="AQ708" s="12" t="str">
        <f t="shared" si="829"/>
        <v/>
      </c>
      <c r="AR708" s="12">
        <f t="shared" si="830"/>
        <v>16.271999999999991</v>
      </c>
      <c r="AS708" s="12" t="str">
        <f t="shared" si="813"/>
        <v/>
      </c>
      <c r="AT708" s="12" t="str">
        <f t="shared" si="814"/>
        <v/>
      </c>
      <c r="AU708" s="12" t="str">
        <f t="shared" si="788"/>
        <v/>
      </c>
      <c r="AV708" s="17"/>
    </row>
    <row r="709" spans="1:48" x14ac:dyDescent="0.25">
      <c r="A709" s="43" t="s">
        <v>441</v>
      </c>
      <c r="B709" s="52"/>
      <c r="C709" s="44"/>
      <c r="D709" s="43"/>
      <c r="E709" s="52"/>
      <c r="F709" s="46"/>
      <c r="G709" s="76" t="s">
        <v>459</v>
      </c>
      <c r="H709" s="48" t="s">
        <v>451</v>
      </c>
      <c r="I709" s="48"/>
      <c r="J709" s="84"/>
      <c r="K709" s="85"/>
      <c r="L709" s="47" t="s">
        <v>442</v>
      </c>
      <c r="M709" s="3">
        <f>11.3+0.2*2</f>
        <v>11.700000000000001</v>
      </c>
      <c r="N709" s="3">
        <f t="shared" si="812"/>
        <v>0.59999999999999964</v>
      </c>
      <c r="O709" s="22">
        <v>0.16</v>
      </c>
      <c r="P709" s="23">
        <v>1</v>
      </c>
      <c r="Q709" s="3"/>
      <c r="R709" s="3"/>
      <c r="S709" s="3"/>
      <c r="T709" s="3"/>
      <c r="U709" s="3"/>
      <c r="V709" s="23"/>
      <c r="W709" s="3"/>
      <c r="X709" s="3"/>
      <c r="Y709" s="17"/>
      <c r="Z709" s="17"/>
      <c r="AA709" s="3"/>
      <c r="AB709" s="3"/>
      <c r="AC709" s="3">
        <f t="shared" ref="AC709:AC710" si="831">M709*N709*2*P709</f>
        <v>14.039999999999994</v>
      </c>
      <c r="AD709" s="3"/>
      <c r="AE709" s="3"/>
      <c r="AF709" s="3"/>
      <c r="AG709" s="3"/>
      <c r="AH709" s="3"/>
      <c r="AI709" s="3"/>
      <c r="AJ709" s="3"/>
      <c r="AK709" s="12">
        <f t="shared" si="823"/>
        <v>7.0199999999999969</v>
      </c>
      <c r="AL709" s="12">
        <f t="shared" si="824"/>
        <v>7.0199999999999969</v>
      </c>
      <c r="AM709" s="12">
        <f t="shared" si="825"/>
        <v>1.1231999999999995</v>
      </c>
      <c r="AN709" s="12">
        <f t="shared" si="826"/>
        <v>1.1231999999999995</v>
      </c>
      <c r="AO709" s="12" t="str">
        <f t="shared" si="827"/>
        <v/>
      </c>
      <c r="AP709" s="12">
        <f t="shared" si="828"/>
        <v>11.700000000000001</v>
      </c>
      <c r="AQ709" s="12" t="str">
        <f t="shared" si="829"/>
        <v/>
      </c>
      <c r="AR709" s="12">
        <f t="shared" si="830"/>
        <v>14.039999999999994</v>
      </c>
      <c r="AS709" s="12" t="str">
        <f t="shared" si="813"/>
        <v/>
      </c>
      <c r="AT709" s="12" t="str">
        <f t="shared" si="814"/>
        <v/>
      </c>
      <c r="AU709" s="12" t="str">
        <f t="shared" si="788"/>
        <v/>
      </c>
      <c r="AV709" s="17"/>
    </row>
    <row r="710" spans="1:48" x14ac:dyDescent="0.25">
      <c r="A710" s="43" t="s">
        <v>441</v>
      </c>
      <c r="B710" s="52"/>
      <c r="C710" s="44"/>
      <c r="D710" s="43"/>
      <c r="E710" s="52"/>
      <c r="F710" s="46"/>
      <c r="G710" s="76" t="s">
        <v>460</v>
      </c>
      <c r="H710" s="48" t="s">
        <v>451</v>
      </c>
      <c r="I710" s="48"/>
      <c r="J710" s="84"/>
      <c r="K710" s="85"/>
      <c r="L710" s="47" t="s">
        <v>442</v>
      </c>
      <c r="M710" s="3">
        <f>6.7+0.2*2-0.16*2</f>
        <v>6.78</v>
      </c>
      <c r="N710" s="3">
        <f t="shared" si="812"/>
        <v>0.59999999999999964</v>
      </c>
      <c r="O710" s="22">
        <v>0.16</v>
      </c>
      <c r="P710" s="23">
        <v>1</v>
      </c>
      <c r="Q710" s="3"/>
      <c r="R710" s="3"/>
      <c r="S710" s="3"/>
      <c r="T710" s="3"/>
      <c r="U710" s="3"/>
      <c r="V710" s="23"/>
      <c r="W710" s="3"/>
      <c r="X710" s="3"/>
      <c r="Y710" s="17"/>
      <c r="Z710" s="17"/>
      <c r="AA710" s="3"/>
      <c r="AB710" s="3"/>
      <c r="AC710" s="3">
        <f t="shared" si="831"/>
        <v>8.1359999999999957</v>
      </c>
      <c r="AD710" s="3"/>
      <c r="AE710" s="3"/>
      <c r="AF710" s="3"/>
      <c r="AG710" s="3"/>
      <c r="AH710" s="3"/>
      <c r="AI710" s="3"/>
      <c r="AJ710" s="3"/>
      <c r="AK710" s="12">
        <f t="shared" si="823"/>
        <v>4.0679999999999978</v>
      </c>
      <c r="AL710" s="12">
        <f t="shared" si="824"/>
        <v>4.0679999999999978</v>
      </c>
      <c r="AM710" s="12">
        <f t="shared" si="825"/>
        <v>0.65087999999999968</v>
      </c>
      <c r="AN710" s="12">
        <f t="shared" si="826"/>
        <v>0.65087999999999968</v>
      </c>
      <c r="AO710" s="12" t="str">
        <f t="shared" si="827"/>
        <v/>
      </c>
      <c r="AP710" s="12">
        <f t="shared" si="828"/>
        <v>6.78</v>
      </c>
      <c r="AQ710" s="12" t="str">
        <f t="shared" si="829"/>
        <v/>
      </c>
      <c r="AR710" s="12">
        <f t="shared" si="830"/>
        <v>8.1359999999999957</v>
      </c>
      <c r="AS710" s="12" t="str">
        <f t="shared" si="813"/>
        <v/>
      </c>
      <c r="AT710" s="12" t="str">
        <f t="shared" si="814"/>
        <v/>
      </c>
      <c r="AU710" s="12" t="str">
        <f t="shared" si="788"/>
        <v/>
      </c>
      <c r="AV710" s="17"/>
    </row>
    <row r="711" spans="1:48" x14ac:dyDescent="0.25">
      <c r="A711" s="43" t="s">
        <v>441</v>
      </c>
      <c r="B711" s="52"/>
      <c r="C711" s="44"/>
      <c r="D711" s="43"/>
      <c r="E711" s="52"/>
      <c r="F711" s="46"/>
      <c r="G711" s="76"/>
      <c r="H711" s="48"/>
      <c r="I711" s="48"/>
      <c r="J711" s="84"/>
      <c r="K711" s="85"/>
      <c r="L711" s="47" t="s">
        <v>1179</v>
      </c>
      <c r="M711" s="3"/>
      <c r="N711" s="3"/>
      <c r="O711" s="22"/>
      <c r="P711" s="23"/>
      <c r="Q711" s="3"/>
      <c r="R711" s="3"/>
      <c r="S711" s="3"/>
      <c r="T711" s="3"/>
      <c r="U711" s="3"/>
      <c r="V711" s="23"/>
      <c r="W711" s="3"/>
      <c r="X711" s="3"/>
      <c r="Y711" s="17"/>
      <c r="Z711" s="17"/>
      <c r="AA711" s="3"/>
      <c r="AB711" s="3"/>
      <c r="AC711" s="3"/>
      <c r="AD711" s="3"/>
      <c r="AE711" s="3"/>
      <c r="AF711" s="3"/>
      <c r="AG711" s="3"/>
      <c r="AH711" s="3"/>
      <c r="AI711" s="3"/>
      <c r="AJ711" s="3"/>
      <c r="AK711" s="12" t="str">
        <f t="shared" si="823"/>
        <v/>
      </c>
      <c r="AL711" s="12" t="str">
        <f t="shared" si="824"/>
        <v/>
      </c>
      <c r="AM711" s="12" t="str">
        <f t="shared" si="825"/>
        <v/>
      </c>
      <c r="AN711" s="12" t="str">
        <f t="shared" si="826"/>
        <v/>
      </c>
      <c r="AO711" s="12" t="str">
        <f t="shared" si="827"/>
        <v/>
      </c>
      <c r="AP711" s="12" t="str">
        <f t="shared" si="828"/>
        <v/>
      </c>
      <c r="AQ711" s="12" t="str">
        <f t="shared" si="829"/>
        <v/>
      </c>
      <c r="AR711" s="12" t="str">
        <f t="shared" si="830"/>
        <v/>
      </c>
      <c r="AS711" s="12" t="str">
        <f t="shared" si="813"/>
        <v/>
      </c>
      <c r="AT711" s="12" t="str">
        <f t="shared" si="814"/>
        <v/>
      </c>
      <c r="AU711" s="12" t="str">
        <f t="shared" si="788"/>
        <v/>
      </c>
      <c r="AV711" s="17"/>
    </row>
    <row r="712" spans="1:48" x14ac:dyDescent="0.25">
      <c r="A712" s="43" t="s">
        <v>441</v>
      </c>
      <c r="B712" s="52"/>
      <c r="C712" s="44"/>
      <c r="D712" s="43"/>
      <c r="E712" s="52"/>
      <c r="F712" s="46"/>
      <c r="G712" s="76"/>
      <c r="H712" s="48" t="s">
        <v>1178</v>
      </c>
      <c r="I712" s="48"/>
      <c r="J712" s="84"/>
      <c r="K712" s="85"/>
      <c r="L712" s="47" t="s">
        <v>1180</v>
      </c>
      <c r="M712" s="3">
        <f>1.02*2+2.42*2+0.2*4</f>
        <v>7.68</v>
      </c>
      <c r="N712" s="3">
        <v>0.5</v>
      </c>
      <c r="O712" s="22">
        <v>0.2</v>
      </c>
      <c r="P712" s="23">
        <v>2</v>
      </c>
      <c r="Q712" s="3"/>
      <c r="R712" s="3"/>
      <c r="S712" s="3"/>
      <c r="T712" s="3"/>
      <c r="U712" s="3"/>
      <c r="V712" s="23"/>
      <c r="W712" s="3"/>
      <c r="X712" s="3"/>
      <c r="Y712" s="17"/>
      <c r="Z712" s="17"/>
      <c r="AA712" s="3"/>
      <c r="AB712" s="3"/>
      <c r="AC712" s="3"/>
      <c r="AD712" s="3"/>
      <c r="AE712" s="3"/>
      <c r="AF712" s="3"/>
      <c r="AG712" s="3"/>
      <c r="AH712" s="3"/>
      <c r="AI712" s="3"/>
      <c r="AJ712" s="3"/>
      <c r="AK712" s="12">
        <f t="shared" ref="AK712:AK715" si="832">IF(((M712*N712)-Q712-R712-S712+T712+U712)=0,"",((M712*N712)-Q712-R712-S712+T712+U712))</f>
        <v>3.84</v>
      </c>
      <c r="AL712" s="12">
        <f t="shared" ref="AL712:AL715" si="833">IF(PRODUCT(P712,AK712)=0,"",P712*AK712)</f>
        <v>7.68</v>
      </c>
      <c r="AM712" s="12">
        <f t="shared" ref="AM712:AM715" si="834">IF(PRODUCT(AK712,O712)=0,"",AK712*O712)</f>
        <v>0.76800000000000002</v>
      </c>
      <c r="AN712" s="12">
        <f t="shared" ref="AN712:AN715" si="835">IF(PRODUCT(AM712,P712)=0,"",AM712*P712)</f>
        <v>1.536</v>
      </c>
      <c r="AO712" s="12" t="str">
        <f t="shared" ref="AO712:AO715" si="836">IF(N712*V712-W712+X712=0,"",N712*V712-W712+X712)</f>
        <v/>
      </c>
      <c r="AP712" s="12">
        <f t="shared" ref="AP712:AP715" si="837">IF(PRODUCT(M712,P712)=0,"",M712*P712)</f>
        <v>15.36</v>
      </c>
      <c r="AQ712" s="12" t="str">
        <f t="shared" ref="AQ712:AQ715" si="838">IF(AA712+AB712=0,"",AA712+AB712)</f>
        <v/>
      </c>
      <c r="AR712" s="12" t="str">
        <f t="shared" ref="AR712:AR715" si="839">IF(AC712+AD712=0,"",AC712+AD712)</f>
        <v/>
      </c>
      <c r="AS712" s="12" t="str">
        <f t="shared" ref="AS712:AS715" si="840">IF((AE712*AH712*AI712)*P712=0,"",(AE712*AH712*AI712)*P712)</f>
        <v/>
      </c>
      <c r="AT712" s="12" t="str">
        <f t="shared" ref="AT712:AT715" si="841">IF(AJ712*P712=0,"",AJ712*P712)</f>
        <v/>
      </c>
      <c r="AU712" s="12" t="str">
        <f t="shared" ref="AU712:AU715" si="842">IF(OR(H712="s1",H712="s2",H712="s3",H712="s4",H712="s4*",H712="s5",H712="s12",H712="s16"),IF(M712&gt;=4,M712,""),"")</f>
        <v/>
      </c>
      <c r="AV712" s="17"/>
    </row>
    <row r="713" spans="1:48" x14ac:dyDescent="0.25">
      <c r="A713" s="43" t="s">
        <v>441</v>
      </c>
      <c r="B713" s="52"/>
      <c r="C713" s="44"/>
      <c r="D713" s="43"/>
      <c r="E713" s="52"/>
      <c r="F713" s="46"/>
      <c r="G713" s="76"/>
      <c r="H713" s="48" t="s">
        <v>1178</v>
      </c>
      <c r="I713" s="48"/>
      <c r="J713" s="84"/>
      <c r="K713" s="85"/>
      <c r="L713" s="47" t="s">
        <v>1181</v>
      </c>
      <c r="M713" s="3">
        <f>0.83*2+0.82*2+0.2*4</f>
        <v>4.0999999999999996</v>
      </c>
      <c r="N713" s="3">
        <v>0.5</v>
      </c>
      <c r="O713" s="22">
        <v>0.2</v>
      </c>
      <c r="P713" s="23">
        <v>1</v>
      </c>
      <c r="Q713" s="3"/>
      <c r="R713" s="3"/>
      <c r="S713" s="3"/>
      <c r="T713" s="3"/>
      <c r="U713" s="3"/>
      <c r="V713" s="23"/>
      <c r="W713" s="3"/>
      <c r="X713" s="3"/>
      <c r="Y713" s="17"/>
      <c r="Z713" s="17"/>
      <c r="AA713" s="3"/>
      <c r="AB713" s="3"/>
      <c r="AC713" s="3"/>
      <c r="AD713" s="3"/>
      <c r="AE713" s="3"/>
      <c r="AF713" s="3"/>
      <c r="AG713" s="3"/>
      <c r="AH713" s="3"/>
      <c r="AI713" s="3"/>
      <c r="AJ713" s="3"/>
      <c r="AK713" s="12">
        <f t="shared" si="832"/>
        <v>2.0499999999999998</v>
      </c>
      <c r="AL713" s="12">
        <f t="shared" si="833"/>
        <v>2.0499999999999998</v>
      </c>
      <c r="AM713" s="12">
        <f t="shared" si="834"/>
        <v>0.41</v>
      </c>
      <c r="AN713" s="12">
        <f t="shared" si="835"/>
        <v>0.41</v>
      </c>
      <c r="AO713" s="12" t="str">
        <f t="shared" si="836"/>
        <v/>
      </c>
      <c r="AP713" s="12">
        <f t="shared" si="837"/>
        <v>4.0999999999999996</v>
      </c>
      <c r="AQ713" s="12" t="str">
        <f t="shared" si="838"/>
        <v/>
      </c>
      <c r="AR713" s="12" t="str">
        <f t="shared" si="839"/>
        <v/>
      </c>
      <c r="AS713" s="12" t="str">
        <f t="shared" si="840"/>
        <v/>
      </c>
      <c r="AT713" s="12" t="str">
        <f t="shared" si="841"/>
        <v/>
      </c>
      <c r="AU713" s="12" t="str">
        <f t="shared" si="842"/>
        <v/>
      </c>
      <c r="AV713" s="17"/>
    </row>
    <row r="714" spans="1:48" x14ac:dyDescent="0.25">
      <c r="A714" s="43" t="s">
        <v>441</v>
      </c>
      <c r="B714" s="52"/>
      <c r="C714" s="44"/>
      <c r="D714" s="43"/>
      <c r="E714" s="52"/>
      <c r="F714" s="46"/>
      <c r="G714" s="76"/>
      <c r="H714" s="48"/>
      <c r="I714" s="48"/>
      <c r="J714" s="84"/>
      <c r="K714" s="85"/>
      <c r="L714" s="47"/>
      <c r="M714" s="3"/>
      <c r="N714" s="3"/>
      <c r="O714" s="22"/>
      <c r="P714" s="23"/>
      <c r="Q714" s="3"/>
      <c r="R714" s="3"/>
      <c r="S714" s="3"/>
      <c r="T714" s="3"/>
      <c r="U714" s="3"/>
      <c r="V714" s="23"/>
      <c r="W714" s="3"/>
      <c r="X714" s="3"/>
      <c r="Y714" s="17"/>
      <c r="Z714" s="17"/>
      <c r="AA714" s="3"/>
      <c r="AB714" s="3"/>
      <c r="AC714" s="3"/>
      <c r="AD714" s="3"/>
      <c r="AE714" s="3"/>
      <c r="AF714" s="3"/>
      <c r="AG714" s="3"/>
      <c r="AH714" s="3"/>
      <c r="AI714" s="3"/>
      <c r="AJ714" s="3"/>
      <c r="AK714" s="12" t="str">
        <f t="shared" si="832"/>
        <v/>
      </c>
      <c r="AL714" s="12" t="str">
        <f t="shared" si="833"/>
        <v/>
      </c>
      <c r="AM714" s="12" t="str">
        <f t="shared" si="834"/>
        <v/>
      </c>
      <c r="AN714" s="12" t="str">
        <f t="shared" si="835"/>
        <v/>
      </c>
      <c r="AO714" s="12" t="str">
        <f t="shared" si="836"/>
        <v/>
      </c>
      <c r="AP714" s="12" t="str">
        <f t="shared" si="837"/>
        <v/>
      </c>
      <c r="AQ714" s="12" t="str">
        <f t="shared" si="838"/>
        <v/>
      </c>
      <c r="AR714" s="12" t="str">
        <f t="shared" si="839"/>
        <v/>
      </c>
      <c r="AS714" s="12" t="str">
        <f t="shared" si="840"/>
        <v/>
      </c>
      <c r="AT714" s="12" t="str">
        <f t="shared" si="841"/>
        <v/>
      </c>
      <c r="AU714" s="12" t="str">
        <f t="shared" si="842"/>
        <v/>
      </c>
      <c r="AV714" s="17"/>
    </row>
    <row r="715" spans="1:48" x14ac:dyDescent="0.25">
      <c r="A715" s="43" t="s">
        <v>441</v>
      </c>
      <c r="B715" s="52"/>
      <c r="C715" s="44"/>
      <c r="D715" s="43"/>
      <c r="E715" s="52"/>
      <c r="F715" s="46"/>
      <c r="G715" s="76"/>
      <c r="H715" s="48"/>
      <c r="I715" s="48"/>
      <c r="J715" s="84"/>
      <c r="K715" s="85"/>
      <c r="L715" s="47"/>
      <c r="M715" s="3"/>
      <c r="N715" s="3"/>
      <c r="O715" s="22"/>
      <c r="P715" s="23"/>
      <c r="Q715" s="3"/>
      <c r="R715" s="3"/>
      <c r="S715" s="3"/>
      <c r="T715" s="3"/>
      <c r="U715" s="3"/>
      <c r="V715" s="23"/>
      <c r="W715" s="3"/>
      <c r="X715" s="3"/>
      <c r="Y715" s="17"/>
      <c r="Z715" s="17"/>
      <c r="AA715" s="3"/>
      <c r="AB715" s="3"/>
      <c r="AC715" s="3"/>
      <c r="AD715" s="3"/>
      <c r="AE715" s="3"/>
      <c r="AF715" s="3"/>
      <c r="AG715" s="3"/>
      <c r="AH715" s="3"/>
      <c r="AI715" s="3"/>
      <c r="AJ715" s="3"/>
      <c r="AK715" s="12" t="str">
        <f t="shared" si="832"/>
        <v/>
      </c>
      <c r="AL715" s="12" t="str">
        <f t="shared" si="833"/>
        <v/>
      </c>
      <c r="AM715" s="12" t="str">
        <f t="shared" si="834"/>
        <v/>
      </c>
      <c r="AN715" s="12" t="str">
        <f t="shared" si="835"/>
        <v/>
      </c>
      <c r="AO715" s="12" t="str">
        <f t="shared" si="836"/>
        <v/>
      </c>
      <c r="AP715" s="12" t="str">
        <f t="shared" si="837"/>
        <v/>
      </c>
      <c r="AQ715" s="12" t="str">
        <f t="shared" si="838"/>
        <v/>
      </c>
      <c r="AR715" s="12" t="str">
        <f t="shared" si="839"/>
        <v/>
      </c>
      <c r="AS715" s="12" t="str">
        <f t="shared" si="840"/>
        <v/>
      </c>
      <c r="AT715" s="12" t="str">
        <f t="shared" si="841"/>
        <v/>
      </c>
      <c r="AU715" s="12" t="str">
        <f t="shared" si="842"/>
        <v/>
      </c>
      <c r="AV715" s="17"/>
    </row>
    <row r="716" spans="1:48" x14ac:dyDescent="0.25">
      <c r="A716" s="43"/>
      <c r="B716" s="52"/>
      <c r="C716" s="44"/>
      <c r="D716" s="45"/>
      <c r="E716" s="52"/>
      <c r="F716" s="46"/>
      <c r="G716" s="76"/>
      <c r="H716" s="48"/>
      <c r="I716" s="48"/>
      <c r="J716" s="84"/>
      <c r="K716" s="85"/>
      <c r="L716" s="47"/>
      <c r="M716" s="3"/>
      <c r="N716" s="3"/>
      <c r="O716" s="22"/>
      <c r="P716" s="23"/>
      <c r="Q716" s="3"/>
      <c r="R716" s="3"/>
      <c r="S716" s="3"/>
      <c r="T716" s="3"/>
      <c r="U716" s="3"/>
      <c r="V716" s="23"/>
      <c r="W716" s="3"/>
      <c r="X716" s="3"/>
      <c r="Y716" s="17"/>
      <c r="Z716" s="17"/>
      <c r="AA716" s="3"/>
      <c r="AB716" s="3"/>
      <c r="AC716" s="3"/>
      <c r="AD716" s="3"/>
      <c r="AE716" s="3"/>
      <c r="AF716" s="3"/>
      <c r="AG716" s="3"/>
      <c r="AH716" s="3"/>
      <c r="AI716" s="3"/>
      <c r="AJ716" s="3"/>
      <c r="AK716" s="12" t="str">
        <f t="shared" ref="AK716" si="843">IF(((M716*N716)-Q716-R716-S716+T716+U716)=0,"",((M716*N716)-Q716-R716-S716+T716+U716))</f>
        <v/>
      </c>
      <c r="AL716" s="12" t="str">
        <f t="shared" ref="AL716" si="844">IF(PRODUCT(P716,AK716)=0,"",P716*AK716)</f>
        <v/>
      </c>
      <c r="AM716" s="12" t="str">
        <f t="shared" ref="AM716" si="845">IF(PRODUCT(AK716,O716)=0,"",AK716*O716)</f>
        <v/>
      </c>
      <c r="AN716" s="12" t="str">
        <f t="shared" ref="AN716" si="846">IF(PRODUCT(AM716,P716)=0,"",AM716*P716)</f>
        <v/>
      </c>
      <c r="AO716" s="12" t="str">
        <f t="shared" ref="AO716" si="847">IF(N716*V716-W716+X716=0,"",N716*V716-W716+X716)</f>
        <v/>
      </c>
      <c r="AP716" s="12" t="str">
        <f t="shared" ref="AP716" si="848">IF(PRODUCT(M716,P716)=0,"",M716*P716)</f>
        <v/>
      </c>
      <c r="AQ716" s="12" t="str">
        <f t="shared" ref="AQ716" si="849">IF(AA716+AB716=0,"",AA716+AB716)</f>
        <v/>
      </c>
      <c r="AR716" s="12" t="str">
        <f t="shared" ref="AR716" si="850">IF(AC716+AD716=0,"",AC716+AD716)</f>
        <v/>
      </c>
      <c r="AS716" s="12" t="str">
        <f t="shared" si="813"/>
        <v/>
      </c>
      <c r="AT716" s="12" t="str">
        <f t="shared" si="814"/>
        <v/>
      </c>
      <c r="AU716" s="12" t="str">
        <f t="shared" si="788"/>
        <v/>
      </c>
      <c r="AV716" s="17"/>
    </row>
    <row r="717" spans="1:48" x14ac:dyDescent="0.25">
      <c r="A717" s="6"/>
      <c r="B717" s="6"/>
      <c r="C717" s="6"/>
      <c r="D717" s="6"/>
      <c r="E717" s="6"/>
      <c r="F717" s="6"/>
      <c r="G717" s="6"/>
      <c r="H717" s="13"/>
      <c r="I717" s="6"/>
      <c r="J717" s="86"/>
      <c r="K717" s="87"/>
      <c r="L717" s="7" t="s">
        <v>12</v>
      </c>
      <c r="M717" s="8"/>
      <c r="N717" s="8"/>
      <c r="O717" s="8"/>
      <c r="P717" s="24">
        <f>SUBTOTAL(9,P10:P716)</f>
        <v>752</v>
      </c>
      <c r="Q717" s="8"/>
      <c r="R717" s="8"/>
      <c r="S717" s="8"/>
      <c r="T717" s="8"/>
      <c r="U717" s="8"/>
      <c r="V717" s="24"/>
      <c r="W717" s="8"/>
      <c r="X717" s="8"/>
      <c r="Y717" s="8"/>
      <c r="Z717" s="8"/>
      <c r="AA717" s="8"/>
      <c r="AB717" s="8"/>
      <c r="AC717" s="8"/>
      <c r="AD717" s="8"/>
      <c r="AE717" s="8"/>
      <c r="AF717" s="8"/>
      <c r="AG717" s="8"/>
      <c r="AH717" s="8"/>
      <c r="AI717" s="8"/>
      <c r="AJ717" s="8"/>
      <c r="AK717" s="8"/>
      <c r="AL717" s="8">
        <f>SUBTOTAL(9,AL10:AL716)</f>
        <v>6697.4446608005301</v>
      </c>
      <c r="AM717" s="8"/>
      <c r="AN717" s="8">
        <f t="shared" ref="AN717:AU717" si="851">SUBTOTAL(9,AN10:AN716)</f>
        <v>1274.4700753700772</v>
      </c>
      <c r="AO717" s="8">
        <f t="shared" si="851"/>
        <v>0</v>
      </c>
      <c r="AP717" s="8">
        <f t="shared" si="851"/>
        <v>2948.581574287567</v>
      </c>
      <c r="AQ717" s="8">
        <f t="shared" si="851"/>
        <v>169.328</v>
      </c>
      <c r="AR717" s="8">
        <f t="shared" si="851"/>
        <v>3019.4212340352328</v>
      </c>
      <c r="AS717" s="8">
        <f t="shared" si="851"/>
        <v>24.14558000000002</v>
      </c>
      <c r="AT717" s="8">
        <f t="shared" si="851"/>
        <v>197.88799999999989</v>
      </c>
      <c r="AU717" s="8">
        <f t="shared" si="851"/>
        <v>0</v>
      </c>
      <c r="AV717" s="8"/>
    </row>
    <row r="718" spans="1:48" x14ac:dyDescent="0.25">
      <c r="A718" s="33"/>
      <c r="B718" s="33"/>
      <c r="C718" s="33"/>
      <c r="D718" s="33"/>
      <c r="E718" s="33"/>
      <c r="F718" s="33"/>
      <c r="G718" s="33"/>
      <c r="H718" s="33"/>
      <c r="I718" s="33"/>
      <c r="J718" s="33"/>
      <c r="K718" s="33"/>
      <c r="L718" s="33"/>
      <c r="M718" s="34"/>
      <c r="N718" s="34"/>
      <c r="O718" s="34"/>
      <c r="P718" s="34"/>
      <c r="Q718" s="34"/>
      <c r="R718" s="34"/>
      <c r="S718" s="34"/>
      <c r="T718" s="34"/>
      <c r="U718" s="34"/>
      <c r="V718" s="34"/>
      <c r="W718" s="34"/>
      <c r="X718" s="34"/>
      <c r="Y718" s="34"/>
      <c r="Z718" s="34"/>
      <c r="AA718" s="34"/>
      <c r="AB718" s="34"/>
      <c r="AC718" s="34"/>
      <c r="AD718" s="34"/>
      <c r="AE718" s="34"/>
      <c r="AF718" s="34"/>
      <c r="AG718" s="34"/>
      <c r="AH718" s="34"/>
      <c r="AI718" s="34"/>
      <c r="AJ718" s="34"/>
      <c r="AK718" s="34"/>
      <c r="AL718" s="34"/>
      <c r="AM718" s="34"/>
      <c r="AN718" s="34"/>
      <c r="AO718" s="34"/>
      <c r="AP718" s="34"/>
      <c r="AQ718" s="34"/>
      <c r="AR718" s="34"/>
      <c r="AS718" s="34"/>
      <c r="AT718" s="34"/>
      <c r="AU718" s="34"/>
      <c r="AV718" s="34"/>
    </row>
    <row r="720" spans="1:48" x14ac:dyDescent="0.25">
      <c r="A720" t="s">
        <v>466</v>
      </c>
    </row>
    <row r="721" spans="1:46" x14ac:dyDescent="0.25">
      <c r="A721" t="s">
        <v>470</v>
      </c>
    </row>
    <row r="722" spans="1:46" x14ac:dyDescent="0.25">
      <c r="AL722" t="s">
        <v>478</v>
      </c>
      <c r="AN722" t="s">
        <v>479</v>
      </c>
      <c r="AP722" t="s">
        <v>10</v>
      </c>
      <c r="AQ722" t="s">
        <v>480</v>
      </c>
      <c r="AR722" t="s">
        <v>481</v>
      </c>
      <c r="AS722" t="s">
        <v>485</v>
      </c>
      <c r="AT722" t="s">
        <v>478</v>
      </c>
    </row>
  </sheetData>
  <autoFilter ref="A2:AU716" xr:uid="{4B446813-E5B4-45D2-BBEA-4E82C922A060}"/>
  <mergeCells count="59">
    <mergeCell ref="AE3:AJ4"/>
    <mergeCell ref="AE5:AE7"/>
    <mergeCell ref="AH5:AH7"/>
    <mergeCell ref="AJ5:AJ7"/>
    <mergeCell ref="AI5:AI7"/>
    <mergeCell ref="AF5:AF7"/>
    <mergeCell ref="AG5:AG7"/>
    <mergeCell ref="K6:K8"/>
    <mergeCell ref="AK5:AK7"/>
    <mergeCell ref="AL5:AL7"/>
    <mergeCell ref="Y5:Y8"/>
    <mergeCell ref="Z5:Z8"/>
    <mergeCell ref="AA6:AA7"/>
    <mergeCell ref="AB6:AB7"/>
    <mergeCell ref="U5:U7"/>
    <mergeCell ref="AM5:AM7"/>
    <mergeCell ref="AO5:AO7"/>
    <mergeCell ref="AK3:AR4"/>
    <mergeCell ref="AQ5:AR5"/>
    <mergeCell ref="AQ6:AQ7"/>
    <mergeCell ref="AR6:AR7"/>
    <mergeCell ref="AP5:AP7"/>
    <mergeCell ref="H9:L9"/>
    <mergeCell ref="AU3:AU5"/>
    <mergeCell ref="AU6:AU7"/>
    <mergeCell ref="V3:Z4"/>
    <mergeCell ref="AA3:AD4"/>
    <mergeCell ref="AS3:AT4"/>
    <mergeCell ref="AS5:AS7"/>
    <mergeCell ref="AT5:AT7"/>
    <mergeCell ref="AN5:AN7"/>
    <mergeCell ref="V5:V7"/>
    <mergeCell ref="W5:W7"/>
    <mergeCell ref="X5:X7"/>
    <mergeCell ref="AA5:AB5"/>
    <mergeCell ref="AC5:AD5"/>
    <mergeCell ref="AC6:AC7"/>
    <mergeCell ref="AD6:AD7"/>
    <mergeCell ref="Q4:S4"/>
    <mergeCell ref="M3:U3"/>
    <mergeCell ref="M4:P4"/>
    <mergeCell ref="T4:U4"/>
    <mergeCell ref="T5:T7"/>
    <mergeCell ref="H3:L3"/>
    <mergeCell ref="A4:C4"/>
    <mergeCell ref="D4:F4"/>
    <mergeCell ref="A5:A8"/>
    <mergeCell ref="B5:B8"/>
    <mergeCell ref="C5:C8"/>
    <mergeCell ref="D5:D8"/>
    <mergeCell ref="E5:E8"/>
    <mergeCell ref="F5:F8"/>
    <mergeCell ref="A3:G3"/>
    <mergeCell ref="G4:G8"/>
    <mergeCell ref="H4:H8"/>
    <mergeCell ref="I4:I8"/>
    <mergeCell ref="L4:L8"/>
    <mergeCell ref="J4:K5"/>
    <mergeCell ref="J6:J8"/>
  </mergeCells>
  <phoneticPr fontId="11" type="noConversion"/>
  <pageMargins left="0.25" right="0.25" top="0.75" bottom="0.75" header="0.3" footer="0.3"/>
  <pageSetup paperSize="9" scale="47" fitToHeight="0" orientation="landscape" r:id="rId1"/>
  <headerFooter>
    <oddHeader>&amp;A</oddHead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E04A15-C849-47EA-81E2-5AA601DEF579}">
  <sheetPr>
    <pageSetUpPr fitToPage="1"/>
  </sheetPr>
  <dimension ref="A1:O247"/>
  <sheetViews>
    <sheetView tabSelected="1" topLeftCell="A72" zoomScaleNormal="100" workbookViewId="0">
      <selection activeCell="C81" sqref="C81"/>
    </sheetView>
  </sheetViews>
  <sheetFormatPr defaultRowHeight="15" x14ac:dyDescent="0.25"/>
  <cols>
    <col min="1" max="1" width="2" customWidth="1"/>
    <col min="2" max="2" width="12.42578125" customWidth="1"/>
    <col min="3" max="3" width="6.7109375" customWidth="1"/>
    <col min="4" max="4" width="12.28515625" customWidth="1"/>
    <col min="5" max="6" width="6.28515625" customWidth="1"/>
    <col min="7" max="7" width="6" customWidth="1"/>
    <col min="8" max="8" width="6.140625" customWidth="1"/>
    <col min="9" max="9" width="6.85546875" customWidth="1"/>
    <col min="10" max="10" width="7" customWidth="1"/>
    <col min="11" max="12" width="7.5703125" customWidth="1"/>
    <col min="13" max="17" width="6.85546875" customWidth="1"/>
    <col min="18" max="18" width="5.140625" customWidth="1"/>
    <col min="19" max="22" width="5.5703125" customWidth="1"/>
    <col min="23" max="33" width="8.85546875" customWidth="1"/>
    <col min="34" max="34" width="8.5703125" customWidth="1"/>
    <col min="35" max="35" width="0.7109375" customWidth="1"/>
  </cols>
  <sheetData>
    <row r="1" spans="1:15" ht="18.75" x14ac:dyDescent="0.3">
      <c r="A1" s="1" t="s">
        <v>183</v>
      </c>
      <c r="B1" s="1"/>
      <c r="C1" s="1"/>
      <c r="D1" s="1"/>
    </row>
    <row r="2" spans="1:15" x14ac:dyDescent="0.25">
      <c r="A2" s="2"/>
      <c r="B2" s="2"/>
      <c r="C2" s="2"/>
      <c r="D2" s="2"/>
    </row>
    <row r="3" spans="1:15" x14ac:dyDescent="0.25">
      <c r="A3" s="2"/>
      <c r="B3" s="21" t="s">
        <v>60</v>
      </c>
    </row>
    <row r="4" spans="1:15" ht="15" customHeight="1" x14ac:dyDescent="0.25">
      <c r="A4" s="2"/>
      <c r="B4" s="182" t="s">
        <v>61</v>
      </c>
      <c r="C4" s="168" t="s">
        <v>62</v>
      </c>
      <c r="D4" s="175"/>
      <c r="E4" s="175"/>
      <c r="F4" s="175"/>
      <c r="G4" s="175"/>
      <c r="H4" s="175"/>
      <c r="I4" s="169"/>
      <c r="J4" s="168" t="s">
        <v>63</v>
      </c>
      <c r="K4" s="169"/>
      <c r="L4" s="168" t="s">
        <v>64</v>
      </c>
      <c r="M4" s="169"/>
      <c r="N4" s="168" t="s">
        <v>66</v>
      </c>
      <c r="O4" s="169"/>
    </row>
    <row r="5" spans="1:15" x14ac:dyDescent="0.25">
      <c r="A5" s="2"/>
      <c r="B5" s="183"/>
      <c r="C5" s="170"/>
      <c r="D5" s="176"/>
      <c r="E5" s="176"/>
      <c r="F5" s="176"/>
      <c r="G5" s="176"/>
      <c r="H5" s="176"/>
      <c r="I5" s="171"/>
      <c r="J5" s="170"/>
      <c r="K5" s="171"/>
      <c r="L5" s="170"/>
      <c r="M5" s="171"/>
      <c r="N5" s="170"/>
      <c r="O5" s="171"/>
    </row>
    <row r="6" spans="1:15" x14ac:dyDescent="0.25">
      <c r="A6" s="2"/>
      <c r="B6" s="184"/>
      <c r="C6" s="160"/>
      <c r="D6" s="161"/>
      <c r="E6" s="161"/>
      <c r="F6" s="161"/>
      <c r="G6" s="161"/>
      <c r="H6" s="161"/>
      <c r="I6" s="162"/>
      <c r="J6" s="153" t="s">
        <v>22</v>
      </c>
      <c r="K6" s="154"/>
      <c r="L6" s="153" t="s">
        <v>23</v>
      </c>
      <c r="M6" s="154"/>
      <c r="N6" s="153" t="s">
        <v>10</v>
      </c>
      <c r="O6" s="154"/>
    </row>
    <row r="7" spans="1:15" x14ac:dyDescent="0.25">
      <c r="B7" s="26" t="s">
        <v>335</v>
      </c>
      <c r="C7" s="165" t="s">
        <v>273</v>
      </c>
      <c r="D7" s="166"/>
      <c r="E7" s="166"/>
      <c r="F7" s="166"/>
      <c r="G7" s="166"/>
      <c r="H7" s="166"/>
      <c r="I7" s="167"/>
      <c r="J7" s="147">
        <v>1341.4</v>
      </c>
      <c r="K7" s="148"/>
      <c r="L7" s="147">
        <v>295.66000000000003</v>
      </c>
      <c r="M7" s="148"/>
      <c r="N7" s="149">
        <v>592.13</v>
      </c>
      <c r="O7" s="150"/>
    </row>
    <row r="8" spans="1:15" ht="15" customHeight="1" x14ac:dyDescent="0.25">
      <c r="B8" s="26"/>
      <c r="C8" s="68"/>
      <c r="D8" s="69" t="s">
        <v>207</v>
      </c>
      <c r="E8" s="69"/>
      <c r="F8" s="69"/>
      <c r="G8" s="69"/>
      <c r="H8" s="69"/>
      <c r="I8" s="70"/>
      <c r="J8" s="147">
        <v>906.14</v>
      </c>
      <c r="K8" s="148"/>
      <c r="L8" s="147">
        <v>204.87</v>
      </c>
      <c r="M8" s="148"/>
      <c r="N8" s="149">
        <v>322.77999999999997</v>
      </c>
      <c r="O8" s="150"/>
    </row>
    <row r="9" spans="1:15" ht="15" customHeight="1" x14ac:dyDescent="0.25">
      <c r="B9" s="26"/>
      <c r="C9" s="68"/>
      <c r="D9" s="69" t="s">
        <v>212</v>
      </c>
      <c r="E9" s="69"/>
      <c r="F9" s="69"/>
      <c r="G9" s="69"/>
      <c r="H9" s="69"/>
      <c r="I9" s="70"/>
      <c r="J9" s="147">
        <v>357.97</v>
      </c>
      <c r="K9" s="148"/>
      <c r="L9" s="147">
        <v>75.34</v>
      </c>
      <c r="M9" s="148"/>
      <c r="N9" s="149">
        <v>229.41</v>
      </c>
      <c r="O9" s="150"/>
    </row>
    <row r="10" spans="1:15" ht="15" customHeight="1" x14ac:dyDescent="0.25">
      <c r="B10" s="26"/>
      <c r="C10" s="68"/>
      <c r="D10" s="69" t="s">
        <v>373</v>
      </c>
      <c r="E10" s="69"/>
      <c r="F10" s="69"/>
      <c r="G10" s="69"/>
      <c r="H10" s="69"/>
      <c r="I10" s="70"/>
      <c r="J10" s="147">
        <v>77.290000000000006</v>
      </c>
      <c r="K10" s="148"/>
      <c r="L10" s="147">
        <v>15.46</v>
      </c>
      <c r="M10" s="148"/>
      <c r="N10" s="149">
        <v>39.950000000000003</v>
      </c>
      <c r="O10" s="150"/>
    </row>
    <row r="11" spans="1:15" ht="15" customHeight="1" x14ac:dyDescent="0.25">
      <c r="B11" s="26" t="s">
        <v>336</v>
      </c>
      <c r="C11" s="165" t="s">
        <v>467</v>
      </c>
      <c r="D11" s="166"/>
      <c r="E11" s="166"/>
      <c r="F11" s="166"/>
      <c r="G11" s="166"/>
      <c r="H11" s="166"/>
      <c r="I11" s="167"/>
      <c r="J11" s="147">
        <v>9.59</v>
      </c>
      <c r="K11" s="148"/>
      <c r="L11" s="147">
        <v>2.88</v>
      </c>
      <c r="M11" s="148"/>
      <c r="N11" s="149">
        <v>2.7</v>
      </c>
      <c r="O11" s="150"/>
    </row>
    <row r="12" spans="1:15" ht="15" customHeight="1" x14ac:dyDescent="0.25">
      <c r="B12" s="26" t="s">
        <v>450</v>
      </c>
      <c r="C12" s="165" t="s">
        <v>468</v>
      </c>
      <c r="D12" s="166"/>
      <c r="E12" s="166"/>
      <c r="F12" s="166"/>
      <c r="G12" s="166"/>
      <c r="H12" s="166"/>
      <c r="I12" s="167"/>
      <c r="J12" s="147">
        <v>172.64</v>
      </c>
      <c r="K12" s="148"/>
      <c r="L12" s="147">
        <v>29</v>
      </c>
      <c r="M12" s="148"/>
      <c r="N12" s="149">
        <v>287.74</v>
      </c>
      <c r="O12" s="150"/>
    </row>
    <row r="13" spans="1:15" ht="15" customHeight="1" x14ac:dyDescent="0.25">
      <c r="B13" s="26" t="s">
        <v>491</v>
      </c>
      <c r="C13" s="165" t="s">
        <v>492</v>
      </c>
      <c r="D13" s="166"/>
      <c r="E13" s="166"/>
      <c r="F13" s="166"/>
      <c r="G13" s="166"/>
      <c r="H13" s="166"/>
      <c r="I13" s="167"/>
      <c r="J13" s="147"/>
      <c r="K13" s="148"/>
      <c r="L13" s="147">
        <v>24.15</v>
      </c>
      <c r="M13" s="148"/>
      <c r="N13" s="149"/>
      <c r="O13" s="150"/>
    </row>
    <row r="14" spans="1:15" ht="15" customHeight="1" x14ac:dyDescent="0.25">
      <c r="B14" s="26" t="s">
        <v>338</v>
      </c>
      <c r="C14" s="165" t="s">
        <v>309</v>
      </c>
      <c r="D14" s="166"/>
      <c r="E14" s="166"/>
      <c r="F14" s="166"/>
      <c r="G14" s="166"/>
      <c r="H14" s="166"/>
      <c r="I14" s="167"/>
      <c r="J14" s="147">
        <v>204.16</v>
      </c>
      <c r="K14" s="148"/>
      <c r="L14" s="147">
        <v>40.83</v>
      </c>
      <c r="M14" s="148"/>
      <c r="N14" s="149">
        <v>105.06</v>
      </c>
      <c r="O14" s="150"/>
    </row>
    <row r="15" spans="1:15" ht="15" customHeight="1" x14ac:dyDescent="0.25">
      <c r="B15" s="26" t="s">
        <v>344</v>
      </c>
      <c r="C15" s="165" t="s">
        <v>333</v>
      </c>
      <c r="D15" s="166"/>
      <c r="E15" s="166"/>
      <c r="F15" s="166"/>
      <c r="G15" s="166"/>
      <c r="H15" s="166"/>
      <c r="I15" s="167"/>
      <c r="J15" s="147">
        <v>4.18</v>
      </c>
      <c r="K15" s="148"/>
      <c r="L15" s="147">
        <v>1</v>
      </c>
      <c r="M15" s="148"/>
      <c r="N15" s="149">
        <v>1.48</v>
      </c>
      <c r="O15" s="150"/>
    </row>
    <row r="16" spans="1:15" ht="15" customHeight="1" x14ac:dyDescent="0.25">
      <c r="B16" s="26" t="s">
        <v>340</v>
      </c>
      <c r="C16" s="165" t="s">
        <v>308</v>
      </c>
      <c r="D16" s="166"/>
      <c r="E16" s="166"/>
      <c r="F16" s="166"/>
      <c r="G16" s="166"/>
      <c r="H16" s="166"/>
      <c r="I16" s="167"/>
      <c r="J16" s="147">
        <v>1189.5899999999999</v>
      </c>
      <c r="K16" s="148"/>
      <c r="L16" s="147">
        <v>285.5</v>
      </c>
      <c r="M16" s="148"/>
      <c r="N16" s="149">
        <v>444.09</v>
      </c>
      <c r="O16" s="150"/>
    </row>
    <row r="17" spans="2:15" ht="15" customHeight="1" x14ac:dyDescent="0.25">
      <c r="B17" s="26" t="s">
        <v>342</v>
      </c>
      <c r="C17" s="165" t="s">
        <v>372</v>
      </c>
      <c r="D17" s="166"/>
      <c r="E17" s="166"/>
      <c r="F17" s="166"/>
      <c r="G17" s="166"/>
      <c r="H17" s="166"/>
      <c r="I17" s="167"/>
      <c r="J17" s="147">
        <v>149.44999999999999</v>
      </c>
      <c r="K17" s="148"/>
      <c r="L17" s="147">
        <v>28.4</v>
      </c>
      <c r="M17" s="148"/>
      <c r="N17" s="149">
        <v>53.94</v>
      </c>
      <c r="O17" s="150"/>
    </row>
    <row r="18" spans="2:15" x14ac:dyDescent="0.25">
      <c r="B18" s="49" t="s">
        <v>360</v>
      </c>
      <c r="C18" s="165" t="s">
        <v>331</v>
      </c>
      <c r="D18" s="166"/>
      <c r="E18" s="166"/>
      <c r="F18" s="166"/>
      <c r="G18" s="166"/>
      <c r="H18" s="166"/>
      <c r="I18" s="167"/>
      <c r="J18" s="147">
        <v>51.82</v>
      </c>
      <c r="K18" s="148"/>
      <c r="L18" s="147">
        <v>8.81</v>
      </c>
      <c r="M18" s="148"/>
      <c r="N18" s="149">
        <v>87.52</v>
      </c>
      <c r="O18" s="150"/>
    </row>
    <row r="19" spans="2:15" x14ac:dyDescent="0.25">
      <c r="B19" s="26" t="s">
        <v>486</v>
      </c>
      <c r="C19" s="165" t="s">
        <v>461</v>
      </c>
      <c r="D19" s="166"/>
      <c r="E19" s="166"/>
      <c r="F19" s="166"/>
      <c r="G19" s="166"/>
      <c r="H19" s="166"/>
      <c r="I19" s="167"/>
      <c r="J19" s="147">
        <v>130.27000000000001</v>
      </c>
      <c r="K19" s="148"/>
      <c r="L19" s="147"/>
      <c r="M19" s="148"/>
      <c r="N19" s="149"/>
      <c r="O19" s="150"/>
    </row>
    <row r="20" spans="2:15" x14ac:dyDescent="0.25">
      <c r="B20" s="26" t="s">
        <v>487</v>
      </c>
      <c r="C20" s="165" t="s">
        <v>462</v>
      </c>
      <c r="D20" s="166"/>
      <c r="E20" s="166"/>
      <c r="F20" s="166"/>
      <c r="G20" s="166"/>
      <c r="H20" s="166"/>
      <c r="I20" s="167"/>
      <c r="J20" s="147">
        <v>3674.13</v>
      </c>
      <c r="K20" s="148"/>
      <c r="L20" s="147"/>
      <c r="M20" s="148"/>
      <c r="N20" s="149"/>
      <c r="O20" s="150"/>
    </row>
    <row r="21" spans="2:15" ht="15" customHeight="1" x14ac:dyDescent="0.25">
      <c r="B21" s="26" t="s">
        <v>488</v>
      </c>
      <c r="C21" s="165" t="s">
        <v>463</v>
      </c>
      <c r="D21" s="166"/>
      <c r="E21" s="166"/>
      <c r="F21" s="166"/>
      <c r="G21" s="166"/>
      <c r="H21" s="166"/>
      <c r="I21" s="167"/>
      <c r="J21" s="147">
        <v>38.4</v>
      </c>
      <c r="K21" s="148"/>
      <c r="L21" s="147"/>
      <c r="M21" s="148"/>
      <c r="N21" s="149"/>
      <c r="O21" s="150"/>
    </row>
    <row r="22" spans="2:15" ht="15" customHeight="1" x14ac:dyDescent="0.25">
      <c r="B22" s="26" t="s">
        <v>489</v>
      </c>
      <c r="C22" s="165" t="s">
        <v>464</v>
      </c>
      <c r="D22" s="166"/>
      <c r="E22" s="166"/>
      <c r="F22" s="166"/>
      <c r="G22" s="166"/>
      <c r="H22" s="166"/>
      <c r="I22" s="167"/>
      <c r="J22" s="147">
        <v>0.72</v>
      </c>
      <c r="K22" s="148"/>
      <c r="L22" s="147"/>
      <c r="M22" s="148"/>
      <c r="N22" s="149"/>
      <c r="O22" s="150"/>
    </row>
    <row r="23" spans="2:15" ht="15" customHeight="1" x14ac:dyDescent="0.25">
      <c r="B23" s="26" t="s">
        <v>490</v>
      </c>
      <c r="C23" s="165" t="s">
        <v>465</v>
      </c>
      <c r="D23" s="166"/>
      <c r="E23" s="166"/>
      <c r="F23" s="166"/>
      <c r="G23" s="166"/>
      <c r="H23" s="166"/>
      <c r="I23" s="167"/>
      <c r="J23" s="147">
        <v>345.29</v>
      </c>
      <c r="K23" s="148"/>
      <c r="L23" s="147"/>
      <c r="M23" s="148"/>
      <c r="N23" s="149"/>
      <c r="O23" s="150"/>
    </row>
    <row r="24" spans="2:15" ht="15" customHeight="1" x14ac:dyDescent="0.25">
      <c r="B24" s="26" t="s">
        <v>493</v>
      </c>
      <c r="C24" s="165" t="s">
        <v>494</v>
      </c>
      <c r="D24" s="166"/>
      <c r="E24" s="166"/>
      <c r="F24" s="166"/>
      <c r="G24" s="166"/>
      <c r="H24" s="166"/>
      <c r="I24" s="167"/>
      <c r="J24" s="147">
        <v>197.89</v>
      </c>
      <c r="K24" s="148"/>
      <c r="L24" s="147"/>
      <c r="M24" s="148"/>
      <c r="N24" s="149"/>
      <c r="O24" s="150"/>
    </row>
    <row r="25" spans="2:15" ht="15" customHeight="1" x14ac:dyDescent="0.25">
      <c r="B25" s="49"/>
      <c r="C25" s="73"/>
      <c r="D25" s="74"/>
      <c r="E25" s="74"/>
      <c r="F25" s="74"/>
      <c r="G25" s="74"/>
      <c r="H25" s="74"/>
      <c r="I25" s="75"/>
      <c r="J25" s="147"/>
      <c r="K25" s="148"/>
      <c r="L25" s="147"/>
      <c r="M25" s="148"/>
      <c r="N25" s="149"/>
      <c r="O25" s="150"/>
    </row>
    <row r="26" spans="2:15" ht="15" customHeight="1" x14ac:dyDescent="0.25">
      <c r="B26" s="49" t="s">
        <v>1054</v>
      </c>
      <c r="C26" s="72" t="s">
        <v>1072</v>
      </c>
      <c r="D26" s="74"/>
      <c r="E26" s="74"/>
      <c r="F26" s="74"/>
      <c r="G26" s="74"/>
      <c r="H26" s="74"/>
      <c r="I26" s="75"/>
      <c r="J26" s="147"/>
      <c r="K26" s="148"/>
      <c r="L26" s="147"/>
      <c r="M26" s="148"/>
      <c r="N26" s="149"/>
      <c r="O26" s="150"/>
    </row>
    <row r="27" spans="2:15" ht="15" customHeight="1" x14ac:dyDescent="0.25">
      <c r="B27" s="49"/>
      <c r="C27" s="89"/>
      <c r="D27" s="90" t="s">
        <v>1164</v>
      </c>
      <c r="E27" s="91"/>
      <c r="F27" s="91"/>
      <c r="G27" s="91"/>
      <c r="H27" s="91"/>
      <c r="I27" s="92"/>
      <c r="J27" s="147">
        <v>317.54000000000002</v>
      </c>
      <c r="K27" s="148"/>
      <c r="L27" s="147"/>
      <c r="M27" s="148"/>
      <c r="N27" s="149"/>
      <c r="O27" s="150"/>
    </row>
    <row r="28" spans="2:15" ht="15" customHeight="1" x14ac:dyDescent="0.25">
      <c r="B28" s="49"/>
      <c r="C28" s="89"/>
      <c r="D28" s="90" t="s">
        <v>1165</v>
      </c>
      <c r="E28" s="91"/>
      <c r="F28" s="91"/>
      <c r="G28" s="91"/>
      <c r="H28" s="91"/>
      <c r="I28" s="92"/>
      <c r="J28" s="147">
        <v>220.42</v>
      </c>
      <c r="K28" s="148"/>
      <c r="L28" s="147"/>
      <c r="M28" s="148"/>
      <c r="N28" s="149"/>
      <c r="O28" s="150"/>
    </row>
    <row r="29" spans="2:15" ht="15" customHeight="1" x14ac:dyDescent="0.25">
      <c r="B29" s="49"/>
      <c r="C29" s="89"/>
      <c r="D29" s="90" t="s">
        <v>1163</v>
      </c>
      <c r="E29" s="91"/>
      <c r="F29" s="91"/>
      <c r="G29" s="91"/>
      <c r="H29" s="91"/>
      <c r="I29" s="92"/>
      <c r="J29" s="147">
        <v>79.38</v>
      </c>
      <c r="K29" s="148"/>
      <c r="L29" s="147"/>
      <c r="M29" s="148"/>
      <c r="N29" s="149"/>
      <c r="O29" s="150"/>
    </row>
    <row r="30" spans="2:15" ht="15" customHeight="1" x14ac:dyDescent="0.25">
      <c r="B30" s="49" t="s">
        <v>1055</v>
      </c>
      <c r="C30" s="89" t="s">
        <v>1073</v>
      </c>
      <c r="D30" s="91"/>
      <c r="E30" s="91"/>
      <c r="F30" s="91"/>
      <c r="G30" s="91"/>
      <c r="H30" s="91"/>
      <c r="I30" s="92"/>
      <c r="J30" s="147"/>
      <c r="K30" s="148"/>
      <c r="L30" s="147"/>
      <c r="M30" s="148"/>
      <c r="N30" s="149"/>
      <c r="O30" s="150"/>
    </row>
    <row r="31" spans="2:15" ht="15" customHeight="1" x14ac:dyDescent="0.25">
      <c r="B31" s="49"/>
      <c r="C31" s="89"/>
      <c r="D31" s="90" t="s">
        <v>1164</v>
      </c>
      <c r="E31" s="91"/>
      <c r="F31" s="91"/>
      <c r="G31" s="91"/>
      <c r="H31" s="91"/>
      <c r="I31" s="92"/>
      <c r="J31" s="147">
        <v>111.34</v>
      </c>
      <c r="K31" s="148"/>
      <c r="L31" s="147"/>
      <c r="M31" s="148"/>
      <c r="N31" s="149"/>
      <c r="O31" s="150"/>
    </row>
    <row r="32" spans="2:15" ht="15" customHeight="1" x14ac:dyDescent="0.25">
      <c r="B32" s="49"/>
      <c r="C32" s="89"/>
      <c r="D32" s="90" t="s">
        <v>1167</v>
      </c>
      <c r="E32" s="91"/>
      <c r="F32" s="91"/>
      <c r="G32" s="91"/>
      <c r="H32" s="91"/>
      <c r="I32" s="92"/>
      <c r="J32" s="147">
        <v>9.0500000000000007</v>
      </c>
      <c r="K32" s="148"/>
      <c r="L32" s="147"/>
      <c r="M32" s="148"/>
      <c r="N32" s="149"/>
      <c r="O32" s="150"/>
    </row>
    <row r="33" spans="2:15" ht="15" customHeight="1" x14ac:dyDescent="0.25">
      <c r="B33" s="49"/>
      <c r="C33" s="89"/>
      <c r="D33" s="90" t="s">
        <v>1168</v>
      </c>
      <c r="E33" s="91"/>
      <c r="F33" s="91"/>
      <c r="G33" s="91"/>
      <c r="H33" s="91"/>
      <c r="I33" s="92"/>
      <c r="J33" s="147">
        <v>8.34</v>
      </c>
      <c r="K33" s="148"/>
      <c r="L33" s="147"/>
      <c r="M33" s="148"/>
      <c r="N33" s="149"/>
      <c r="O33" s="150"/>
    </row>
    <row r="34" spans="2:15" ht="15" customHeight="1" x14ac:dyDescent="0.25">
      <c r="B34" s="49"/>
      <c r="C34" s="89"/>
      <c r="D34" s="90" t="s">
        <v>1165</v>
      </c>
      <c r="E34" s="91"/>
      <c r="F34" s="91"/>
      <c r="G34" s="91"/>
      <c r="H34" s="91"/>
      <c r="I34" s="92"/>
      <c r="J34" s="147">
        <v>83.93</v>
      </c>
      <c r="K34" s="148"/>
      <c r="L34" s="147"/>
      <c r="M34" s="148"/>
      <c r="N34" s="149"/>
      <c r="O34" s="150"/>
    </row>
    <row r="35" spans="2:15" ht="15" customHeight="1" x14ac:dyDescent="0.25">
      <c r="B35" s="49"/>
      <c r="C35" s="89"/>
      <c r="D35" s="90" t="s">
        <v>1163</v>
      </c>
      <c r="E35" s="91"/>
      <c r="F35" s="91"/>
      <c r="G35" s="91"/>
      <c r="H35" s="91"/>
      <c r="I35" s="92"/>
      <c r="J35" s="147">
        <v>79.42</v>
      </c>
      <c r="K35" s="148"/>
      <c r="L35" s="147"/>
      <c r="M35" s="148"/>
      <c r="N35" s="149"/>
      <c r="O35" s="150"/>
    </row>
    <row r="36" spans="2:15" ht="15" customHeight="1" x14ac:dyDescent="0.25">
      <c r="B36" s="49"/>
      <c r="C36" s="89"/>
      <c r="D36" s="90" t="s">
        <v>1169</v>
      </c>
      <c r="E36" s="91"/>
      <c r="F36" s="91"/>
      <c r="G36" s="91"/>
      <c r="H36" s="91"/>
      <c r="I36" s="92"/>
      <c r="J36" s="147">
        <v>12.43</v>
      </c>
      <c r="K36" s="148"/>
      <c r="L36" s="147"/>
      <c r="M36" s="148"/>
      <c r="N36" s="149"/>
      <c r="O36" s="150"/>
    </row>
    <row r="37" spans="2:15" ht="15" customHeight="1" x14ac:dyDescent="0.25">
      <c r="B37" s="49" t="s">
        <v>1056</v>
      </c>
      <c r="C37" s="89" t="s">
        <v>1074</v>
      </c>
      <c r="D37" s="91"/>
      <c r="E37" s="91"/>
      <c r="F37" s="91"/>
      <c r="G37" s="91"/>
      <c r="H37" s="91"/>
      <c r="I37" s="92"/>
      <c r="J37" s="147"/>
      <c r="K37" s="148"/>
      <c r="L37" s="147"/>
      <c r="M37" s="148"/>
      <c r="N37" s="149"/>
      <c r="O37" s="150"/>
    </row>
    <row r="38" spans="2:15" ht="15" customHeight="1" x14ac:dyDescent="0.25">
      <c r="B38" s="49"/>
      <c r="C38" s="89"/>
      <c r="D38" s="90" t="s">
        <v>1164</v>
      </c>
      <c r="E38" s="91"/>
      <c r="F38" s="91"/>
      <c r="G38" s="91"/>
      <c r="H38" s="91"/>
      <c r="I38" s="92"/>
      <c r="J38" s="147">
        <v>40.54</v>
      </c>
      <c r="K38" s="148"/>
      <c r="L38" s="77"/>
      <c r="M38" s="78"/>
      <c r="N38" s="79"/>
      <c r="O38" s="80"/>
    </row>
    <row r="39" spans="2:15" ht="15" customHeight="1" x14ac:dyDescent="0.25">
      <c r="B39" s="49"/>
      <c r="C39" s="89"/>
      <c r="D39" s="90" t="s">
        <v>1165</v>
      </c>
      <c r="E39" s="91"/>
      <c r="F39" s="91"/>
      <c r="G39" s="91"/>
      <c r="H39" s="91"/>
      <c r="I39" s="92"/>
      <c r="J39" s="147">
        <v>60.76</v>
      </c>
      <c r="K39" s="148"/>
      <c r="L39" s="77"/>
      <c r="M39" s="78"/>
      <c r="N39" s="79"/>
      <c r="O39" s="80"/>
    </row>
    <row r="40" spans="2:15" ht="15" customHeight="1" x14ac:dyDescent="0.25">
      <c r="B40" s="49"/>
      <c r="C40" s="89"/>
      <c r="D40" s="90" t="s">
        <v>1163</v>
      </c>
      <c r="E40" s="91"/>
      <c r="F40" s="91"/>
      <c r="G40" s="91"/>
      <c r="H40" s="91"/>
      <c r="I40" s="92"/>
      <c r="J40" s="147">
        <v>42.77</v>
      </c>
      <c r="K40" s="148"/>
      <c r="L40" s="77"/>
      <c r="M40" s="78"/>
      <c r="N40" s="79"/>
      <c r="O40" s="80"/>
    </row>
    <row r="41" spans="2:15" ht="15" customHeight="1" x14ac:dyDescent="0.25">
      <c r="B41" s="49" t="s">
        <v>1057</v>
      </c>
      <c r="C41" s="89" t="s">
        <v>1075</v>
      </c>
      <c r="D41" s="91"/>
      <c r="E41" s="91"/>
      <c r="F41" s="91"/>
      <c r="G41" s="91"/>
      <c r="H41" s="91"/>
      <c r="I41" s="92"/>
      <c r="J41" s="147"/>
      <c r="K41" s="148"/>
      <c r="L41" s="147"/>
      <c r="M41" s="148"/>
      <c r="N41" s="149"/>
      <c r="O41" s="150"/>
    </row>
    <row r="42" spans="2:15" ht="15" customHeight="1" x14ac:dyDescent="0.25">
      <c r="B42" s="49"/>
      <c r="C42" s="89"/>
      <c r="D42" s="90" t="s">
        <v>1167</v>
      </c>
      <c r="E42" s="91"/>
      <c r="F42" s="91"/>
      <c r="G42" s="91"/>
      <c r="H42" s="91"/>
      <c r="I42" s="92"/>
      <c r="J42" s="147">
        <v>6.71</v>
      </c>
      <c r="K42" s="148"/>
      <c r="L42" s="77"/>
      <c r="M42" s="78"/>
      <c r="N42" s="79"/>
      <c r="O42" s="80"/>
    </row>
    <row r="43" spans="2:15" ht="15" customHeight="1" x14ac:dyDescent="0.25">
      <c r="B43" s="49" t="s">
        <v>1058</v>
      </c>
      <c r="C43" s="89" t="s">
        <v>1076</v>
      </c>
      <c r="D43" s="91"/>
      <c r="E43" s="91"/>
      <c r="F43" s="91"/>
      <c r="G43" s="91"/>
      <c r="H43" s="91"/>
      <c r="I43" s="92"/>
      <c r="J43" s="147"/>
      <c r="K43" s="148"/>
      <c r="L43" s="147"/>
      <c r="M43" s="148"/>
      <c r="N43" s="149"/>
      <c r="O43" s="150"/>
    </row>
    <row r="44" spans="2:15" ht="15" customHeight="1" x14ac:dyDescent="0.25">
      <c r="B44" s="49"/>
      <c r="C44" s="89"/>
      <c r="D44" s="90" t="s">
        <v>1165</v>
      </c>
      <c r="E44" s="91"/>
      <c r="F44" s="91"/>
      <c r="G44" s="91"/>
      <c r="H44" s="91"/>
      <c r="I44" s="92"/>
      <c r="J44" s="147">
        <v>11.77</v>
      </c>
      <c r="K44" s="148"/>
      <c r="L44" s="77"/>
      <c r="M44" s="78"/>
      <c r="N44" s="79"/>
      <c r="O44" s="80"/>
    </row>
    <row r="45" spans="2:15" ht="15" customHeight="1" x14ac:dyDescent="0.25">
      <c r="B45" s="49"/>
      <c r="C45" s="89"/>
      <c r="D45" s="90" t="s">
        <v>1163</v>
      </c>
      <c r="E45" s="91"/>
      <c r="F45" s="91"/>
      <c r="G45" s="91"/>
      <c r="H45" s="91"/>
      <c r="I45" s="92"/>
      <c r="J45" s="147">
        <v>5.94</v>
      </c>
      <c r="K45" s="148"/>
      <c r="L45" s="77"/>
      <c r="M45" s="78"/>
      <c r="N45" s="79"/>
      <c r="O45" s="80"/>
    </row>
    <row r="46" spans="2:15" ht="15" customHeight="1" x14ac:dyDescent="0.25">
      <c r="B46" s="49"/>
      <c r="C46" s="89"/>
      <c r="D46" s="90" t="s">
        <v>1170</v>
      </c>
      <c r="E46" s="91"/>
      <c r="F46" s="91"/>
      <c r="G46" s="91"/>
      <c r="H46" s="91"/>
      <c r="I46" s="92"/>
      <c r="J46" s="147">
        <v>14.79</v>
      </c>
      <c r="K46" s="148"/>
      <c r="L46" s="77"/>
      <c r="M46" s="78"/>
      <c r="N46" s="79"/>
      <c r="O46" s="80"/>
    </row>
    <row r="47" spans="2:15" ht="15" customHeight="1" x14ac:dyDescent="0.25">
      <c r="B47" s="49"/>
      <c r="C47" s="89"/>
      <c r="D47" s="90" t="s">
        <v>1169</v>
      </c>
      <c r="E47" s="91"/>
      <c r="F47" s="91"/>
      <c r="G47" s="91"/>
      <c r="H47" s="91"/>
      <c r="I47" s="92"/>
      <c r="J47" s="147">
        <v>4.26</v>
      </c>
      <c r="K47" s="148"/>
      <c r="L47" s="77"/>
      <c r="M47" s="78"/>
      <c r="N47" s="79"/>
      <c r="O47" s="80"/>
    </row>
    <row r="48" spans="2:15" ht="15" customHeight="1" x14ac:dyDescent="0.25">
      <c r="B48" s="49" t="s">
        <v>1059</v>
      </c>
      <c r="C48" s="89" t="s">
        <v>1077</v>
      </c>
      <c r="D48" s="91"/>
      <c r="E48" s="91"/>
      <c r="F48" s="91"/>
      <c r="G48" s="91"/>
      <c r="H48" s="91"/>
      <c r="I48" s="92"/>
      <c r="J48" s="147"/>
      <c r="K48" s="148"/>
      <c r="L48" s="147"/>
      <c r="M48" s="148"/>
      <c r="N48" s="149"/>
      <c r="O48" s="150"/>
    </row>
    <row r="49" spans="2:15" ht="15" customHeight="1" x14ac:dyDescent="0.25">
      <c r="B49" s="49"/>
      <c r="C49" s="89"/>
      <c r="D49" s="90" t="s">
        <v>1170</v>
      </c>
      <c r="E49" s="91"/>
      <c r="F49" s="91"/>
      <c r="G49" s="91"/>
      <c r="H49" s="91"/>
      <c r="I49" s="92"/>
      <c r="J49" s="147">
        <v>10.64</v>
      </c>
      <c r="K49" s="148"/>
      <c r="L49" s="77"/>
      <c r="M49" s="78"/>
      <c r="N49" s="79"/>
      <c r="O49" s="80"/>
    </row>
    <row r="50" spans="2:15" ht="15" customHeight="1" x14ac:dyDescent="0.25">
      <c r="B50" s="49" t="s">
        <v>1060</v>
      </c>
      <c r="C50" s="89" t="s">
        <v>1078</v>
      </c>
      <c r="D50" s="91"/>
      <c r="E50" s="91"/>
      <c r="F50" s="91"/>
      <c r="G50" s="91"/>
      <c r="H50" s="91"/>
      <c r="I50" s="92"/>
      <c r="J50" s="147"/>
      <c r="K50" s="148"/>
      <c r="L50" s="147"/>
      <c r="M50" s="148"/>
      <c r="N50" s="149"/>
      <c r="O50" s="150"/>
    </row>
    <row r="51" spans="2:15" ht="15" customHeight="1" x14ac:dyDescent="0.25">
      <c r="B51" s="49"/>
      <c r="C51" s="89"/>
      <c r="D51" s="90" t="s">
        <v>1163</v>
      </c>
      <c r="E51" s="91"/>
      <c r="F51" s="91"/>
      <c r="G51" s="91"/>
      <c r="H51" s="91"/>
      <c r="I51" s="92"/>
      <c r="J51" s="147">
        <v>5.94</v>
      </c>
      <c r="K51" s="148"/>
      <c r="L51" s="77"/>
      <c r="M51" s="78"/>
      <c r="N51" s="79"/>
      <c r="O51" s="80"/>
    </row>
    <row r="52" spans="2:15" ht="15" customHeight="1" x14ac:dyDescent="0.25">
      <c r="B52" s="49" t="s">
        <v>1061</v>
      </c>
      <c r="C52" s="89" t="s">
        <v>1079</v>
      </c>
      <c r="D52" s="91"/>
      <c r="E52" s="91"/>
      <c r="F52" s="91"/>
      <c r="G52" s="91"/>
      <c r="H52" s="91"/>
      <c r="I52" s="92"/>
      <c r="J52" s="147"/>
      <c r="K52" s="148"/>
      <c r="L52" s="147"/>
      <c r="M52" s="148"/>
      <c r="N52" s="149"/>
      <c r="O52" s="150"/>
    </row>
    <row r="53" spans="2:15" ht="15" customHeight="1" x14ac:dyDescent="0.25">
      <c r="B53" s="49"/>
      <c r="C53" s="89"/>
      <c r="D53" s="90" t="s">
        <v>1164</v>
      </c>
      <c r="E53" s="91"/>
      <c r="F53" s="91"/>
      <c r="G53" s="91"/>
      <c r="H53" s="91"/>
      <c r="I53" s="92"/>
      <c r="J53" s="147">
        <v>1049.97</v>
      </c>
      <c r="K53" s="148"/>
      <c r="L53" s="77"/>
      <c r="M53" s="78"/>
      <c r="N53" s="79"/>
      <c r="O53" s="80"/>
    </row>
    <row r="54" spans="2:15" ht="15" customHeight="1" x14ac:dyDescent="0.25">
      <c r="B54" s="49"/>
      <c r="C54" s="89"/>
      <c r="D54" s="90" t="s">
        <v>1165</v>
      </c>
      <c r="E54" s="91"/>
      <c r="F54" s="91"/>
      <c r="G54" s="91"/>
      <c r="H54" s="91"/>
      <c r="I54" s="92"/>
      <c r="J54" s="147">
        <v>230.4</v>
      </c>
      <c r="K54" s="148"/>
      <c r="L54" s="77"/>
      <c r="M54" s="78"/>
      <c r="N54" s="79"/>
      <c r="O54" s="80"/>
    </row>
    <row r="55" spans="2:15" ht="15" customHeight="1" x14ac:dyDescent="0.25">
      <c r="B55" s="49"/>
      <c r="C55" s="89"/>
      <c r="D55" s="90" t="s">
        <v>1163</v>
      </c>
      <c r="E55" s="91"/>
      <c r="F55" s="91"/>
      <c r="G55" s="91"/>
      <c r="H55" s="91"/>
      <c r="I55" s="92"/>
      <c r="J55" s="147">
        <v>12.77</v>
      </c>
      <c r="K55" s="148"/>
      <c r="L55" s="77"/>
      <c r="M55" s="78"/>
      <c r="N55" s="79"/>
      <c r="O55" s="80"/>
    </row>
    <row r="56" spans="2:15" ht="15" customHeight="1" x14ac:dyDescent="0.25">
      <c r="B56" s="49" t="s">
        <v>1062</v>
      </c>
      <c r="C56" s="89" t="s">
        <v>1080</v>
      </c>
      <c r="D56" s="91"/>
      <c r="E56" s="91"/>
      <c r="F56" s="91"/>
      <c r="G56" s="91"/>
      <c r="H56" s="91"/>
      <c r="I56" s="92"/>
      <c r="J56" s="147"/>
      <c r="K56" s="148"/>
      <c r="L56" s="147"/>
      <c r="M56" s="148"/>
      <c r="N56" s="149"/>
      <c r="O56" s="150"/>
    </row>
    <row r="57" spans="2:15" ht="15" customHeight="1" x14ac:dyDescent="0.25">
      <c r="B57" s="49"/>
      <c r="C57" s="89"/>
      <c r="D57" s="90" t="s">
        <v>1168</v>
      </c>
      <c r="E57" s="91"/>
      <c r="F57" s="91"/>
      <c r="G57" s="91"/>
      <c r="H57" s="91"/>
      <c r="I57" s="92"/>
      <c r="J57" s="147">
        <v>12.09</v>
      </c>
      <c r="K57" s="148"/>
      <c r="L57" s="77"/>
      <c r="M57" s="78"/>
      <c r="N57" s="79"/>
      <c r="O57" s="80"/>
    </row>
    <row r="58" spans="2:15" ht="15" customHeight="1" x14ac:dyDescent="0.25">
      <c r="B58" s="49"/>
      <c r="C58" s="89"/>
      <c r="D58" s="90" t="s">
        <v>1169</v>
      </c>
      <c r="E58" s="91"/>
      <c r="F58" s="91"/>
      <c r="G58" s="91"/>
      <c r="H58" s="91"/>
      <c r="I58" s="92"/>
      <c r="J58" s="147">
        <v>357.55</v>
      </c>
      <c r="K58" s="148"/>
      <c r="L58" s="77"/>
      <c r="M58" s="78"/>
      <c r="N58" s="79"/>
      <c r="O58" s="80"/>
    </row>
    <row r="59" spans="2:15" ht="15" customHeight="1" x14ac:dyDescent="0.25">
      <c r="B59" s="49" t="s">
        <v>1063</v>
      </c>
      <c r="C59" s="89" t="s">
        <v>1081</v>
      </c>
      <c r="D59" s="91"/>
      <c r="E59" s="91"/>
      <c r="F59" s="91"/>
      <c r="G59" s="91"/>
      <c r="H59" s="91"/>
      <c r="I59" s="92"/>
      <c r="J59" s="147"/>
      <c r="K59" s="148"/>
      <c r="L59" s="147"/>
      <c r="M59" s="148"/>
      <c r="N59" s="149"/>
      <c r="O59" s="150"/>
    </row>
    <row r="60" spans="2:15" ht="15" customHeight="1" x14ac:dyDescent="0.25">
      <c r="B60" s="49"/>
      <c r="C60" s="89"/>
      <c r="D60" s="90" t="s">
        <v>1165</v>
      </c>
      <c r="E60" s="91"/>
      <c r="F60" s="91"/>
      <c r="G60" s="91"/>
      <c r="H60" s="91"/>
      <c r="I60" s="92"/>
      <c r="J60" s="147">
        <v>6.76</v>
      </c>
      <c r="K60" s="148"/>
      <c r="L60" s="77"/>
      <c r="M60" s="78"/>
      <c r="N60" s="79"/>
      <c r="O60" s="80"/>
    </row>
    <row r="61" spans="2:15" ht="15" customHeight="1" x14ac:dyDescent="0.25">
      <c r="B61" s="49"/>
      <c r="C61" s="89"/>
      <c r="D61" s="90" t="s">
        <v>1169</v>
      </c>
      <c r="E61" s="91"/>
      <c r="F61" s="91"/>
      <c r="G61" s="91"/>
      <c r="H61" s="91"/>
      <c r="I61" s="92"/>
      <c r="J61" s="147">
        <v>104.77</v>
      </c>
      <c r="K61" s="148"/>
      <c r="L61" s="77"/>
      <c r="M61" s="78"/>
      <c r="N61" s="79"/>
      <c r="O61" s="80"/>
    </row>
    <row r="62" spans="2:15" ht="15" customHeight="1" x14ac:dyDescent="0.25">
      <c r="B62" s="49" t="s">
        <v>1064</v>
      </c>
      <c r="C62" s="89" t="s">
        <v>1082</v>
      </c>
      <c r="D62" s="91"/>
      <c r="E62" s="91"/>
      <c r="F62" s="91"/>
      <c r="G62" s="91"/>
      <c r="H62" s="91"/>
      <c r="I62" s="92"/>
      <c r="J62" s="147"/>
      <c r="K62" s="148"/>
      <c r="L62" s="147"/>
      <c r="M62" s="148"/>
      <c r="N62" s="149"/>
      <c r="O62" s="150"/>
    </row>
    <row r="63" spans="2:15" ht="15" customHeight="1" x14ac:dyDescent="0.25">
      <c r="B63" s="49"/>
      <c r="C63" s="89"/>
      <c r="D63" s="90" t="s">
        <v>1163</v>
      </c>
      <c r="E63" s="91"/>
      <c r="F63" s="91"/>
      <c r="G63" s="91"/>
      <c r="H63" s="91"/>
      <c r="I63" s="92"/>
      <c r="J63" s="147">
        <v>25.05</v>
      </c>
      <c r="K63" s="148"/>
      <c r="L63" s="77"/>
      <c r="M63" s="78"/>
      <c r="N63" s="79"/>
      <c r="O63" s="80"/>
    </row>
    <row r="64" spans="2:15" ht="15" customHeight="1" x14ac:dyDescent="0.25">
      <c r="B64" s="49" t="s">
        <v>1065</v>
      </c>
      <c r="C64" s="89" t="s">
        <v>1083</v>
      </c>
      <c r="D64" s="91"/>
      <c r="E64" s="91"/>
      <c r="F64" s="91"/>
      <c r="G64" s="91"/>
      <c r="H64" s="91"/>
      <c r="I64" s="92"/>
      <c r="J64" s="147"/>
      <c r="K64" s="148"/>
      <c r="L64" s="147"/>
      <c r="M64" s="148"/>
      <c r="N64" s="149"/>
      <c r="O64" s="150"/>
    </row>
    <row r="65" spans="2:15" ht="15" customHeight="1" x14ac:dyDescent="0.25">
      <c r="B65" s="49"/>
      <c r="C65" s="89"/>
      <c r="D65" s="90" t="s">
        <v>1163</v>
      </c>
      <c r="E65" s="91"/>
      <c r="F65" s="91"/>
      <c r="G65" s="91"/>
      <c r="H65" s="91"/>
      <c r="I65" s="92"/>
      <c r="J65" s="147">
        <v>143.58000000000001</v>
      </c>
      <c r="K65" s="148"/>
      <c r="L65" s="77"/>
      <c r="M65" s="78"/>
      <c r="N65" s="79"/>
      <c r="O65" s="80"/>
    </row>
    <row r="66" spans="2:15" ht="15" customHeight="1" x14ac:dyDescent="0.25">
      <c r="B66" s="49" t="s">
        <v>1066</v>
      </c>
      <c r="C66" s="89" t="s">
        <v>1084</v>
      </c>
      <c r="D66" s="91"/>
      <c r="E66" s="91"/>
      <c r="F66" s="91"/>
      <c r="G66" s="91"/>
      <c r="H66" s="91"/>
      <c r="I66" s="92"/>
      <c r="J66" s="147"/>
      <c r="K66" s="148"/>
      <c r="L66" s="147"/>
      <c r="M66" s="148"/>
      <c r="N66" s="149"/>
      <c r="O66" s="150"/>
    </row>
    <row r="67" spans="2:15" ht="15" customHeight="1" x14ac:dyDescent="0.25">
      <c r="B67" s="49"/>
      <c r="C67" s="89"/>
      <c r="D67" s="90" t="s">
        <v>1169</v>
      </c>
      <c r="E67" s="91"/>
      <c r="F67" s="91"/>
      <c r="G67" s="91"/>
      <c r="H67" s="91"/>
      <c r="I67" s="92"/>
      <c r="J67" s="147">
        <f>15.46+15.5</f>
        <v>30.96</v>
      </c>
      <c r="K67" s="148"/>
      <c r="L67" s="77"/>
      <c r="M67" s="78"/>
      <c r="N67" s="79"/>
      <c r="O67" s="80"/>
    </row>
    <row r="68" spans="2:15" ht="15" customHeight="1" x14ac:dyDescent="0.25">
      <c r="B68" s="49" t="s">
        <v>1067</v>
      </c>
      <c r="C68" s="89" t="s">
        <v>1085</v>
      </c>
      <c r="D68" s="91"/>
      <c r="E68" s="91"/>
      <c r="F68" s="91"/>
      <c r="G68" s="91"/>
      <c r="H68" s="91"/>
      <c r="I68" s="92"/>
      <c r="J68" s="147"/>
      <c r="K68" s="148"/>
      <c r="L68" s="147"/>
      <c r="M68" s="148"/>
      <c r="N68" s="149"/>
      <c r="O68" s="150"/>
    </row>
    <row r="69" spans="2:15" ht="15" customHeight="1" x14ac:dyDescent="0.25">
      <c r="B69" s="49"/>
      <c r="C69" s="89"/>
      <c r="D69" s="90" t="s">
        <v>1164</v>
      </c>
      <c r="E69" s="91"/>
      <c r="F69" s="91"/>
      <c r="G69" s="91"/>
      <c r="H69" s="91"/>
      <c r="I69" s="92"/>
      <c r="J69" s="147">
        <v>146.47</v>
      </c>
      <c r="K69" s="148"/>
      <c r="L69" s="77"/>
      <c r="M69" s="78"/>
      <c r="N69" s="79"/>
      <c r="O69" s="80"/>
    </row>
    <row r="70" spans="2:15" ht="15" customHeight="1" x14ac:dyDescent="0.25">
      <c r="B70" s="49"/>
      <c r="C70" s="89"/>
      <c r="D70" s="90" t="s">
        <v>1172</v>
      </c>
      <c r="E70" s="91"/>
      <c r="F70" s="91"/>
      <c r="G70" s="91"/>
      <c r="H70" s="91"/>
      <c r="I70" s="92"/>
      <c r="J70" s="147">
        <v>33.42</v>
      </c>
      <c r="K70" s="148"/>
      <c r="L70" s="77"/>
      <c r="M70" s="78"/>
      <c r="N70" s="79"/>
      <c r="O70" s="80"/>
    </row>
    <row r="71" spans="2:15" ht="15" customHeight="1" x14ac:dyDescent="0.25">
      <c r="B71" s="49"/>
      <c r="C71" s="89"/>
      <c r="D71" s="90" t="s">
        <v>1163</v>
      </c>
      <c r="E71" s="91"/>
      <c r="F71" s="91"/>
      <c r="G71" s="91"/>
      <c r="H71" s="91"/>
      <c r="I71" s="92"/>
      <c r="J71" s="147">
        <v>152.75</v>
      </c>
      <c r="K71" s="148"/>
      <c r="L71" s="77"/>
      <c r="M71" s="78"/>
      <c r="N71" s="79"/>
      <c r="O71" s="80"/>
    </row>
    <row r="72" spans="2:15" ht="15" customHeight="1" x14ac:dyDescent="0.25">
      <c r="B72" s="49"/>
      <c r="C72" s="89"/>
      <c r="D72" s="91" t="s">
        <v>1171</v>
      </c>
      <c r="E72" s="91"/>
      <c r="F72" s="91"/>
      <c r="G72" s="91"/>
      <c r="H72" s="91"/>
      <c r="I72" s="92"/>
      <c r="J72" s="147">
        <v>4.0999999999999996</v>
      </c>
      <c r="K72" s="148"/>
      <c r="L72" s="77"/>
      <c r="M72" s="78"/>
      <c r="N72" s="79"/>
      <c r="O72" s="80"/>
    </row>
    <row r="73" spans="2:15" ht="15" customHeight="1" x14ac:dyDescent="0.25">
      <c r="B73" s="49"/>
      <c r="C73" s="89" t="s">
        <v>1176</v>
      </c>
      <c r="D73" s="91"/>
      <c r="E73" s="91"/>
      <c r="F73" s="91"/>
      <c r="G73" s="91"/>
      <c r="H73" s="91"/>
      <c r="I73" s="92"/>
      <c r="J73" s="147"/>
      <c r="K73" s="148"/>
      <c r="L73" s="77"/>
      <c r="M73" s="78"/>
      <c r="N73" s="79"/>
      <c r="O73" s="80"/>
    </row>
    <row r="74" spans="2:15" ht="15" customHeight="1" x14ac:dyDescent="0.25">
      <c r="B74" s="49"/>
      <c r="C74" s="89"/>
      <c r="D74" s="91" t="s">
        <v>1164</v>
      </c>
      <c r="E74" s="91"/>
      <c r="F74" s="91"/>
      <c r="G74" s="91"/>
      <c r="H74" s="91"/>
      <c r="I74" s="92"/>
      <c r="J74" s="147">
        <v>6.39</v>
      </c>
      <c r="K74" s="148"/>
      <c r="L74" s="77"/>
      <c r="M74" s="78"/>
      <c r="N74" s="79"/>
      <c r="O74" s="80"/>
    </row>
    <row r="75" spans="2:15" ht="15" customHeight="1" x14ac:dyDescent="0.25">
      <c r="B75" s="49" t="s">
        <v>1068</v>
      </c>
      <c r="C75" s="89" t="s">
        <v>1086</v>
      </c>
      <c r="D75" s="91"/>
      <c r="E75" s="91"/>
      <c r="F75" s="91"/>
      <c r="G75" s="91"/>
      <c r="H75" s="91"/>
      <c r="I75" s="92"/>
      <c r="J75" s="147"/>
      <c r="K75" s="148"/>
      <c r="L75" s="147"/>
      <c r="M75" s="148"/>
      <c r="N75" s="149"/>
      <c r="O75" s="150"/>
    </row>
    <row r="76" spans="2:15" ht="15" customHeight="1" x14ac:dyDescent="0.25">
      <c r="B76" s="49"/>
      <c r="C76" s="89"/>
      <c r="D76" s="91" t="s">
        <v>1171</v>
      </c>
      <c r="E76" s="91"/>
      <c r="F76" s="91"/>
      <c r="G76" s="91"/>
      <c r="H76" s="91"/>
      <c r="I76" s="92"/>
      <c r="J76" s="147">
        <v>29.25</v>
      </c>
      <c r="K76" s="148"/>
      <c r="L76" s="77"/>
      <c r="M76" s="78"/>
      <c r="N76" s="79"/>
      <c r="O76" s="80"/>
    </row>
    <row r="77" spans="2:15" ht="15" customHeight="1" x14ac:dyDescent="0.25">
      <c r="B77" s="49" t="s">
        <v>1069</v>
      </c>
      <c r="C77" s="89" t="s">
        <v>1087</v>
      </c>
      <c r="D77" s="91"/>
      <c r="E77" s="91"/>
      <c r="F77" s="91"/>
      <c r="G77" s="91"/>
      <c r="H77" s="91"/>
      <c r="I77" s="92"/>
      <c r="J77" s="147"/>
      <c r="K77" s="148"/>
      <c r="L77" s="147"/>
      <c r="M77" s="148"/>
      <c r="N77" s="149"/>
      <c r="O77" s="150"/>
    </row>
    <row r="78" spans="2:15" ht="15" customHeight="1" x14ac:dyDescent="0.25">
      <c r="B78" s="49"/>
      <c r="C78" s="89"/>
      <c r="D78" s="91" t="s">
        <v>1173</v>
      </c>
      <c r="E78" s="91"/>
      <c r="F78" s="91"/>
      <c r="G78" s="91"/>
      <c r="H78" s="91"/>
      <c r="I78" s="92"/>
      <c r="J78" s="147">
        <v>21.07</v>
      </c>
      <c r="K78" s="148"/>
      <c r="L78" s="77"/>
      <c r="M78" s="78"/>
      <c r="N78" s="79"/>
      <c r="O78" s="80"/>
    </row>
    <row r="79" spans="2:15" ht="15" customHeight="1" x14ac:dyDescent="0.25">
      <c r="B79" s="49" t="s">
        <v>1070</v>
      </c>
      <c r="C79" s="89" t="s">
        <v>1088</v>
      </c>
      <c r="D79" s="91"/>
      <c r="E79" s="91"/>
      <c r="F79" s="91"/>
      <c r="G79" s="91"/>
      <c r="H79" s="91"/>
      <c r="I79" s="92"/>
      <c r="J79" s="147">
        <v>36.619999999999997</v>
      </c>
      <c r="K79" s="148"/>
      <c r="L79" s="147">
        <v>6.96</v>
      </c>
      <c r="M79" s="148"/>
      <c r="N79" s="149"/>
      <c r="O79" s="150"/>
    </row>
    <row r="80" spans="2:15" ht="15" customHeight="1" x14ac:dyDescent="0.25">
      <c r="B80" s="49" t="s">
        <v>1071</v>
      </c>
      <c r="C80" s="89" t="s">
        <v>1089</v>
      </c>
      <c r="D80" s="91"/>
      <c r="E80" s="91"/>
      <c r="F80" s="91"/>
      <c r="G80" s="91"/>
      <c r="H80" s="91"/>
      <c r="I80" s="92"/>
      <c r="J80" s="147">
        <v>21.82</v>
      </c>
      <c r="K80" s="148"/>
      <c r="L80" s="147">
        <v>5.24</v>
      </c>
      <c r="M80" s="148"/>
      <c r="N80" s="149"/>
      <c r="O80" s="150"/>
    </row>
    <row r="81" spans="2:15" ht="15" customHeight="1" x14ac:dyDescent="0.25">
      <c r="B81" s="49" t="s">
        <v>1177</v>
      </c>
      <c r="C81" s="89" t="s">
        <v>1186</v>
      </c>
      <c r="D81" s="91"/>
      <c r="E81" s="91"/>
      <c r="F81" s="91"/>
      <c r="G81" s="91"/>
      <c r="H81" s="91"/>
      <c r="I81" s="92"/>
      <c r="J81" s="147">
        <v>9.73</v>
      </c>
      <c r="K81" s="148"/>
      <c r="L81" s="147">
        <v>1.95</v>
      </c>
      <c r="M81" s="148"/>
      <c r="N81" s="149">
        <v>19.46</v>
      </c>
      <c r="O81" s="150"/>
    </row>
    <row r="82" spans="2:15" ht="15" customHeight="1" x14ac:dyDescent="0.25">
      <c r="B82" s="49" t="s">
        <v>1182</v>
      </c>
      <c r="C82" s="89" t="s">
        <v>1187</v>
      </c>
      <c r="D82" s="91"/>
      <c r="E82" s="91"/>
      <c r="F82" s="91"/>
      <c r="G82" s="91"/>
      <c r="H82" s="91"/>
      <c r="I82" s="92"/>
      <c r="J82" s="147">
        <v>6.59</v>
      </c>
      <c r="K82" s="148"/>
      <c r="L82" s="147">
        <v>1.98</v>
      </c>
      <c r="M82" s="148"/>
      <c r="N82" s="149">
        <v>7.75</v>
      </c>
      <c r="O82" s="150"/>
    </row>
    <row r="83" spans="2:15" x14ac:dyDescent="0.25">
      <c r="B83" s="26"/>
      <c r="C83" s="93" t="s">
        <v>221</v>
      </c>
      <c r="D83" s="94"/>
      <c r="E83" s="94"/>
      <c r="F83" s="94"/>
      <c r="G83" s="94"/>
      <c r="H83" s="94"/>
      <c r="I83" s="95"/>
      <c r="J83" s="147">
        <f>SUM(J27:K61)</f>
        <v>2900.2800000000007</v>
      </c>
      <c r="K83" s="148"/>
      <c r="L83" s="147"/>
      <c r="M83" s="148"/>
      <c r="N83" s="149"/>
      <c r="O83" s="150"/>
    </row>
    <row r="84" spans="2:15" x14ac:dyDescent="0.25">
      <c r="B84" s="26"/>
      <c r="C84" s="93" t="s">
        <v>222</v>
      </c>
      <c r="D84" s="94"/>
      <c r="E84" s="94"/>
      <c r="F84" s="94"/>
      <c r="G84" s="94"/>
      <c r="H84" s="94"/>
      <c r="I84" s="95"/>
      <c r="J84" s="147">
        <f>SUM(J62:K78)</f>
        <v>593.04000000000008</v>
      </c>
      <c r="K84" s="148"/>
      <c r="L84" s="147"/>
      <c r="M84" s="148"/>
      <c r="N84" s="149"/>
      <c r="O84" s="150"/>
    </row>
    <row r="85" spans="2:15" x14ac:dyDescent="0.25">
      <c r="B85" s="49"/>
      <c r="C85" s="172"/>
      <c r="D85" s="173"/>
      <c r="E85" s="173"/>
      <c r="F85" s="173"/>
      <c r="G85" s="173"/>
      <c r="H85" s="173"/>
      <c r="I85" s="174"/>
      <c r="J85" s="147"/>
      <c r="K85" s="148"/>
      <c r="L85" s="147"/>
      <c r="M85" s="148"/>
      <c r="N85" s="149"/>
      <c r="O85" s="150"/>
    </row>
    <row r="86" spans="2:15" x14ac:dyDescent="0.25">
      <c r="B86" s="50"/>
      <c r="C86" s="177" t="s">
        <v>12</v>
      </c>
      <c r="D86" s="178"/>
      <c r="E86" s="178"/>
      <c r="F86" s="178"/>
      <c r="G86" s="178"/>
      <c r="H86" s="178"/>
      <c r="I86" s="179"/>
      <c r="J86" s="147">
        <f>SUBTOTAL(9,J7:K24)</f>
        <v>8850.93</v>
      </c>
      <c r="K86" s="148"/>
      <c r="L86" s="147">
        <f>SUBTOTAL(9,L7:M24)</f>
        <v>1011.9</v>
      </c>
      <c r="M86" s="148"/>
      <c r="N86" s="147">
        <f>SUBTOTAL(9,N7:O24)</f>
        <v>2166.7999999999997</v>
      </c>
      <c r="O86" s="148"/>
    </row>
    <row r="87" spans="2:15" ht="15" customHeight="1" x14ac:dyDescent="0.25"/>
    <row r="88" spans="2:15" ht="15" customHeight="1" x14ac:dyDescent="0.25"/>
    <row r="89" spans="2:15" x14ac:dyDescent="0.25">
      <c r="B89" s="21" t="s">
        <v>67</v>
      </c>
    </row>
    <row r="90" spans="2:15" x14ac:dyDescent="0.25">
      <c r="B90" s="168" t="s">
        <v>68</v>
      </c>
      <c r="C90" s="169"/>
      <c r="D90" s="168" t="s">
        <v>69</v>
      </c>
      <c r="E90" s="175"/>
      <c r="F90" s="157"/>
      <c r="G90" s="158"/>
      <c r="H90" s="159"/>
      <c r="I90" s="157"/>
      <c r="J90" s="158"/>
      <c r="K90" s="159"/>
      <c r="L90" s="157" t="s">
        <v>216</v>
      </c>
      <c r="M90" s="158"/>
      <c r="N90" s="159"/>
    </row>
    <row r="91" spans="2:15" x14ac:dyDescent="0.25">
      <c r="B91" s="170"/>
      <c r="C91" s="171"/>
      <c r="D91" s="170"/>
      <c r="E91" s="176"/>
      <c r="F91" s="160" t="s">
        <v>214</v>
      </c>
      <c r="G91" s="161"/>
      <c r="H91" s="162"/>
      <c r="I91" s="160" t="s">
        <v>131</v>
      </c>
      <c r="J91" s="161"/>
      <c r="K91" s="162"/>
      <c r="L91" s="160" t="s">
        <v>215</v>
      </c>
      <c r="M91" s="161"/>
      <c r="N91" s="162"/>
    </row>
    <row r="92" spans="2:15" ht="24" x14ac:dyDescent="0.25">
      <c r="B92" s="170"/>
      <c r="C92" s="171"/>
      <c r="D92" s="170"/>
      <c r="E92" s="176"/>
      <c r="F92" s="62" t="s">
        <v>19</v>
      </c>
      <c r="G92" s="62" t="s">
        <v>20</v>
      </c>
      <c r="H92" s="62" t="s">
        <v>21</v>
      </c>
      <c r="I92" s="62" t="s">
        <v>19</v>
      </c>
      <c r="J92" s="62" t="s">
        <v>20</v>
      </c>
      <c r="K92" s="62" t="s">
        <v>21</v>
      </c>
      <c r="L92" s="62" t="s">
        <v>19</v>
      </c>
      <c r="M92" s="62" t="s">
        <v>20</v>
      </c>
      <c r="N92" s="62" t="s">
        <v>21</v>
      </c>
    </row>
    <row r="93" spans="2:15" x14ac:dyDescent="0.25">
      <c r="B93" s="160"/>
      <c r="C93" s="162"/>
      <c r="D93" s="160"/>
      <c r="E93" s="161"/>
      <c r="F93" s="51" t="s">
        <v>11</v>
      </c>
      <c r="G93" s="51" t="s">
        <v>22</v>
      </c>
      <c r="H93" s="54" t="s">
        <v>23</v>
      </c>
      <c r="I93" s="51" t="s">
        <v>11</v>
      </c>
      <c r="J93" s="51" t="s">
        <v>22</v>
      </c>
      <c r="K93" s="54" t="s">
        <v>23</v>
      </c>
      <c r="L93" s="65" t="s">
        <v>11</v>
      </c>
      <c r="M93" s="65" t="s">
        <v>22</v>
      </c>
      <c r="N93" s="54" t="s">
        <v>23</v>
      </c>
    </row>
    <row r="94" spans="2:15" x14ac:dyDescent="0.25">
      <c r="B94" s="27" t="s">
        <v>31</v>
      </c>
      <c r="C94" s="28"/>
      <c r="D94" s="27" t="s">
        <v>16</v>
      </c>
      <c r="E94" s="28"/>
      <c r="F94" s="55"/>
      <c r="G94" s="56"/>
      <c r="H94" s="56"/>
      <c r="I94" s="55"/>
      <c r="J94" s="56"/>
      <c r="K94" s="56"/>
      <c r="L94" s="55"/>
      <c r="M94" s="56"/>
      <c r="N94" s="56"/>
    </row>
    <row r="95" spans="2:15" x14ac:dyDescent="0.25">
      <c r="B95" s="27"/>
      <c r="C95" s="28"/>
      <c r="D95" s="27" t="s">
        <v>70</v>
      </c>
      <c r="E95" s="28"/>
      <c r="F95" s="55"/>
      <c r="G95" s="56"/>
      <c r="H95" s="56"/>
      <c r="I95" s="55"/>
      <c r="J95" s="56"/>
      <c r="K95" s="56"/>
      <c r="L95" s="55"/>
      <c r="M95" s="56"/>
      <c r="N95" s="56"/>
    </row>
    <row r="96" spans="2:15" x14ac:dyDescent="0.25">
      <c r="B96" s="27"/>
      <c r="C96" s="28"/>
      <c r="D96" s="27" t="s">
        <v>18</v>
      </c>
      <c r="E96" s="28"/>
      <c r="F96" s="55"/>
      <c r="G96" s="56"/>
      <c r="H96" s="56"/>
      <c r="I96" s="55"/>
      <c r="J96" s="56"/>
      <c r="K96" s="56"/>
      <c r="L96" s="55"/>
      <c r="M96" s="56"/>
      <c r="N96" s="56"/>
    </row>
    <row r="97" spans="2:14" x14ac:dyDescent="0.25">
      <c r="B97" s="27"/>
      <c r="C97" s="28"/>
      <c r="D97" s="27" t="s">
        <v>25</v>
      </c>
      <c r="E97" s="28"/>
      <c r="F97" s="55"/>
      <c r="G97" s="56"/>
      <c r="H97" s="56"/>
      <c r="I97" s="55"/>
      <c r="J97" s="56"/>
      <c r="K97" s="56"/>
      <c r="L97" s="55"/>
      <c r="M97" s="56"/>
      <c r="N97" s="56"/>
    </row>
    <row r="98" spans="2:14" x14ac:dyDescent="0.25">
      <c r="B98" s="27"/>
      <c r="C98" s="28"/>
      <c r="D98" s="27" t="s">
        <v>26</v>
      </c>
      <c r="E98" s="28"/>
      <c r="F98" s="55"/>
      <c r="G98" s="56"/>
      <c r="H98" s="56"/>
      <c r="I98" s="55"/>
      <c r="J98" s="56"/>
      <c r="K98" s="56"/>
      <c r="L98" s="55"/>
      <c r="M98" s="56"/>
      <c r="N98" s="56"/>
    </row>
    <row r="99" spans="2:14" x14ac:dyDescent="0.25">
      <c r="B99" s="27"/>
      <c r="C99" s="28"/>
      <c r="D99" s="27" t="s">
        <v>71</v>
      </c>
      <c r="E99" s="28"/>
      <c r="F99" s="55"/>
      <c r="G99" s="56"/>
      <c r="H99" s="56"/>
      <c r="I99" s="55"/>
      <c r="J99" s="56"/>
      <c r="K99" s="56"/>
      <c r="L99" s="55"/>
      <c r="M99" s="56"/>
      <c r="N99" s="56"/>
    </row>
    <row r="100" spans="2:14" x14ac:dyDescent="0.25">
      <c r="B100" s="27" t="s">
        <v>29</v>
      </c>
      <c r="C100" s="28"/>
      <c r="D100" s="27" t="s">
        <v>16</v>
      </c>
      <c r="E100" s="28"/>
      <c r="F100" s="55"/>
      <c r="G100" s="56"/>
      <c r="H100" s="56"/>
      <c r="I100" s="55"/>
      <c r="J100" s="56"/>
      <c r="K100" s="56"/>
      <c r="L100" s="55"/>
      <c r="M100" s="56"/>
      <c r="N100" s="56"/>
    </row>
    <row r="101" spans="2:14" x14ac:dyDescent="0.25">
      <c r="B101" s="27"/>
      <c r="C101" s="28"/>
      <c r="D101" s="27" t="s">
        <v>70</v>
      </c>
      <c r="E101" s="28"/>
      <c r="F101" s="55"/>
      <c r="G101" s="56"/>
      <c r="H101" s="56"/>
      <c r="I101" s="55"/>
      <c r="J101" s="56"/>
      <c r="K101" s="56"/>
      <c r="L101" s="55"/>
      <c r="M101" s="56"/>
      <c r="N101" s="56"/>
    </row>
    <row r="102" spans="2:14" x14ac:dyDescent="0.25">
      <c r="B102" s="27"/>
      <c r="C102" s="28"/>
      <c r="D102" s="27" t="s">
        <v>18</v>
      </c>
      <c r="E102" s="28"/>
      <c r="F102" s="55"/>
      <c r="G102" s="56"/>
      <c r="H102" s="56"/>
      <c r="I102" s="55"/>
      <c r="J102" s="56"/>
      <c r="K102" s="56"/>
      <c r="L102" s="55"/>
      <c r="M102" s="56"/>
      <c r="N102" s="56"/>
    </row>
    <row r="103" spans="2:14" x14ac:dyDescent="0.25">
      <c r="B103" s="27"/>
      <c r="C103" s="28"/>
      <c r="D103" s="27" t="s">
        <v>25</v>
      </c>
      <c r="E103" s="28"/>
      <c r="F103" s="55"/>
      <c r="G103" s="56"/>
      <c r="H103" s="56"/>
      <c r="I103" s="55"/>
      <c r="J103" s="56"/>
      <c r="K103" s="56"/>
      <c r="L103" s="55"/>
      <c r="M103" s="56"/>
      <c r="N103" s="56"/>
    </row>
    <row r="104" spans="2:14" x14ac:dyDescent="0.25">
      <c r="B104" s="27"/>
      <c r="C104" s="28"/>
      <c r="D104" s="27" t="s">
        <v>26</v>
      </c>
      <c r="E104" s="28"/>
      <c r="F104" s="55"/>
      <c r="G104" s="56"/>
      <c r="H104" s="56"/>
      <c r="I104" s="55"/>
      <c r="J104" s="56"/>
      <c r="K104" s="56"/>
      <c r="L104" s="55"/>
      <c r="M104" s="56"/>
      <c r="N104" s="56"/>
    </row>
    <row r="105" spans="2:14" x14ac:dyDescent="0.25">
      <c r="B105" s="27"/>
      <c r="C105" s="28"/>
      <c r="D105" s="27" t="s">
        <v>71</v>
      </c>
      <c r="E105" s="28"/>
      <c r="F105" s="55"/>
      <c r="G105" s="56"/>
      <c r="H105" s="56"/>
      <c r="I105" s="55"/>
      <c r="J105" s="56"/>
      <c r="K105" s="56"/>
      <c r="L105" s="55"/>
      <c r="M105" s="56"/>
      <c r="N105" s="56"/>
    </row>
    <row r="106" spans="2:14" x14ac:dyDescent="0.25">
      <c r="B106" s="27" t="s">
        <v>30</v>
      </c>
      <c r="C106" s="28"/>
      <c r="D106" s="27" t="s">
        <v>16</v>
      </c>
      <c r="E106" s="28"/>
      <c r="F106" s="55"/>
      <c r="G106" s="56"/>
      <c r="H106" s="56"/>
      <c r="I106" s="55"/>
      <c r="J106" s="56"/>
      <c r="K106" s="56"/>
      <c r="L106" s="55"/>
      <c r="M106" s="56"/>
      <c r="N106" s="56"/>
    </row>
    <row r="107" spans="2:14" x14ac:dyDescent="0.25">
      <c r="B107" s="27"/>
      <c r="C107" s="28"/>
      <c r="D107" s="27" t="s">
        <v>70</v>
      </c>
      <c r="E107" s="28"/>
      <c r="F107" s="55"/>
      <c r="G107" s="56"/>
      <c r="H107" s="56"/>
      <c r="I107" s="55"/>
      <c r="J107" s="56"/>
      <c r="K107" s="56"/>
      <c r="L107" s="55"/>
      <c r="M107" s="56"/>
      <c r="N107" s="56"/>
    </row>
    <row r="108" spans="2:14" x14ac:dyDescent="0.25">
      <c r="B108" s="27"/>
      <c r="C108" s="28"/>
      <c r="D108" s="27" t="s">
        <v>18</v>
      </c>
      <c r="E108" s="28"/>
      <c r="F108" s="55"/>
      <c r="G108" s="56"/>
      <c r="H108" s="56"/>
      <c r="I108" s="55"/>
      <c r="J108" s="56"/>
      <c r="K108" s="56"/>
      <c r="L108" s="55"/>
      <c r="M108" s="56"/>
      <c r="N108" s="56"/>
    </row>
    <row r="109" spans="2:14" x14ac:dyDescent="0.25">
      <c r="B109" s="27"/>
      <c r="C109" s="28"/>
      <c r="D109" s="27" t="s">
        <v>25</v>
      </c>
      <c r="E109" s="28"/>
      <c r="F109" s="55"/>
      <c r="G109" s="56"/>
      <c r="H109" s="56"/>
      <c r="I109" s="55"/>
      <c r="J109" s="56"/>
      <c r="K109" s="56"/>
      <c r="L109" s="55"/>
      <c r="M109" s="56"/>
      <c r="N109" s="56"/>
    </row>
    <row r="110" spans="2:14" x14ac:dyDescent="0.25">
      <c r="B110" s="27"/>
      <c r="C110" s="28"/>
      <c r="D110" s="27" t="s">
        <v>26</v>
      </c>
      <c r="E110" s="28"/>
      <c r="F110" s="55"/>
      <c r="G110" s="56"/>
      <c r="H110" s="56"/>
      <c r="I110" s="55"/>
      <c r="J110" s="56"/>
      <c r="K110" s="56"/>
      <c r="L110" s="55"/>
      <c r="M110" s="56"/>
      <c r="N110" s="56"/>
    </row>
    <row r="111" spans="2:14" x14ac:dyDescent="0.25">
      <c r="B111" s="27"/>
      <c r="C111" s="28"/>
      <c r="D111" s="27" t="s">
        <v>27</v>
      </c>
      <c r="E111" s="28"/>
      <c r="F111" s="55"/>
      <c r="G111" s="56"/>
      <c r="H111" s="56"/>
      <c r="I111" s="55"/>
      <c r="J111" s="56"/>
      <c r="K111" s="56"/>
      <c r="L111" s="55"/>
      <c r="M111" s="56"/>
      <c r="N111" s="56"/>
    </row>
    <row r="112" spans="2:14" x14ac:dyDescent="0.25">
      <c r="B112" s="27"/>
      <c r="C112" s="28"/>
      <c r="D112" s="27" t="s">
        <v>28</v>
      </c>
      <c r="E112" s="28"/>
      <c r="F112" s="55"/>
      <c r="G112" s="56"/>
      <c r="H112" s="56"/>
      <c r="I112" s="55"/>
      <c r="J112" s="56"/>
      <c r="K112" s="56"/>
      <c r="L112" s="55"/>
      <c r="M112" s="56"/>
      <c r="N112" s="56"/>
    </row>
    <row r="113" spans="2:14" x14ac:dyDescent="0.25">
      <c r="B113" s="27"/>
      <c r="C113" s="28"/>
      <c r="D113" s="27" t="s">
        <v>72</v>
      </c>
      <c r="E113" s="28"/>
      <c r="F113" s="55"/>
      <c r="G113" s="56"/>
      <c r="H113" s="56"/>
      <c r="I113" s="55"/>
      <c r="J113" s="56"/>
      <c r="K113" s="56"/>
      <c r="L113" s="55"/>
      <c r="M113" s="56"/>
      <c r="N113" s="56"/>
    </row>
    <row r="114" spans="2:14" x14ac:dyDescent="0.25">
      <c r="B114" s="27"/>
      <c r="C114" s="28"/>
      <c r="D114" s="27" t="s">
        <v>73</v>
      </c>
      <c r="E114" s="28"/>
      <c r="F114" s="55"/>
      <c r="G114" s="56"/>
      <c r="H114" s="56"/>
      <c r="I114" s="55"/>
      <c r="J114" s="56"/>
      <c r="K114" s="56"/>
      <c r="L114" s="55"/>
      <c r="M114" s="56"/>
      <c r="N114" s="56"/>
    </row>
    <row r="115" spans="2:14" x14ac:dyDescent="0.25">
      <c r="B115" s="27"/>
      <c r="C115" s="28"/>
      <c r="D115" s="27" t="s">
        <v>74</v>
      </c>
      <c r="E115" s="28"/>
      <c r="F115" s="55"/>
      <c r="G115" s="56"/>
      <c r="H115" s="56"/>
      <c r="I115" s="55"/>
      <c r="J115" s="56"/>
      <c r="K115" s="56"/>
      <c r="L115" s="55"/>
      <c r="M115" s="56"/>
      <c r="N115" s="56"/>
    </row>
    <row r="116" spans="2:14" x14ac:dyDescent="0.25">
      <c r="B116" s="27" t="s">
        <v>32</v>
      </c>
      <c r="C116" s="28"/>
      <c r="D116" s="27" t="s">
        <v>16</v>
      </c>
      <c r="E116" s="28"/>
      <c r="F116" s="57"/>
      <c r="G116" s="58"/>
      <c r="H116" s="56"/>
      <c r="I116" s="57"/>
      <c r="J116" s="58"/>
      <c r="K116" s="56"/>
      <c r="L116" s="57"/>
      <c r="M116" s="58"/>
      <c r="N116" s="56"/>
    </row>
    <row r="117" spans="2:14" x14ac:dyDescent="0.25">
      <c r="B117" s="27"/>
      <c r="C117" s="28"/>
      <c r="D117" s="27" t="s">
        <v>70</v>
      </c>
      <c r="E117" s="28"/>
      <c r="F117" s="57"/>
      <c r="G117" s="58"/>
      <c r="H117" s="56"/>
      <c r="I117" s="57"/>
      <c r="J117" s="58"/>
      <c r="K117" s="56"/>
      <c r="L117" s="57"/>
      <c r="M117" s="58"/>
      <c r="N117" s="56"/>
    </row>
    <row r="118" spans="2:14" x14ac:dyDescent="0.25">
      <c r="B118" s="27"/>
      <c r="C118" s="28"/>
      <c r="D118" s="27" t="s">
        <v>75</v>
      </c>
      <c r="E118" s="28"/>
      <c r="F118" s="57"/>
      <c r="G118" s="56"/>
      <c r="H118" s="58"/>
      <c r="I118" s="57"/>
      <c r="J118" s="56"/>
      <c r="K118" s="58"/>
      <c r="L118" s="57"/>
      <c r="M118" s="56"/>
      <c r="N118" s="58"/>
    </row>
    <row r="119" spans="2:14" x14ac:dyDescent="0.25">
      <c r="B119" s="27"/>
      <c r="C119" s="28"/>
      <c r="D119" s="27" t="s">
        <v>76</v>
      </c>
      <c r="E119" s="28"/>
      <c r="F119" s="57"/>
      <c r="G119" s="56"/>
      <c r="H119" s="58"/>
      <c r="I119" s="57"/>
      <c r="J119" s="56"/>
      <c r="K119" s="58"/>
      <c r="L119" s="57"/>
      <c r="M119" s="56"/>
      <c r="N119" s="58"/>
    </row>
    <row r="120" spans="2:14" ht="15" customHeight="1" x14ac:dyDescent="0.25">
      <c r="B120" s="27"/>
      <c r="C120" s="28"/>
      <c r="D120" s="27" t="s">
        <v>18</v>
      </c>
      <c r="E120" s="28"/>
      <c r="F120" s="57"/>
      <c r="G120" s="56"/>
      <c r="H120" s="58"/>
      <c r="I120" s="57"/>
      <c r="J120" s="56"/>
      <c r="K120" s="58"/>
      <c r="L120" s="57"/>
      <c r="M120" s="56"/>
      <c r="N120" s="58"/>
    </row>
    <row r="121" spans="2:14" x14ac:dyDescent="0.25">
      <c r="B121" s="27"/>
      <c r="C121" s="28"/>
      <c r="D121" s="27" t="s">
        <v>199</v>
      </c>
      <c r="E121" s="28"/>
      <c r="F121" s="57"/>
      <c r="G121" s="56"/>
      <c r="H121" s="58"/>
      <c r="I121" s="57"/>
      <c r="J121" s="56"/>
      <c r="K121" s="58"/>
      <c r="L121" s="57"/>
      <c r="M121" s="56"/>
      <c r="N121" s="58"/>
    </row>
    <row r="122" spans="2:14" x14ac:dyDescent="0.25">
      <c r="B122" s="27" t="s">
        <v>33</v>
      </c>
      <c r="C122" s="28"/>
      <c r="D122" s="27" t="s">
        <v>16</v>
      </c>
      <c r="E122" s="28"/>
      <c r="F122" s="57"/>
      <c r="G122" s="58"/>
      <c r="H122" s="56"/>
      <c r="I122" s="57"/>
      <c r="J122" s="58"/>
      <c r="K122" s="56"/>
      <c r="L122" s="57"/>
      <c r="M122" s="58"/>
      <c r="N122" s="56"/>
    </row>
    <row r="123" spans="2:14" x14ac:dyDescent="0.25">
      <c r="B123" s="27"/>
      <c r="C123" s="28"/>
      <c r="D123" s="27" t="s">
        <v>70</v>
      </c>
      <c r="E123" s="28"/>
      <c r="F123" s="57"/>
      <c r="G123" s="58"/>
      <c r="H123" s="56"/>
      <c r="I123" s="57"/>
      <c r="J123" s="58"/>
      <c r="K123" s="56"/>
      <c r="L123" s="57"/>
      <c r="M123" s="58"/>
      <c r="N123" s="56"/>
    </row>
    <row r="124" spans="2:14" x14ac:dyDescent="0.25">
      <c r="B124" s="27"/>
      <c r="C124" s="28"/>
      <c r="D124" s="27" t="s">
        <v>75</v>
      </c>
      <c r="E124" s="28"/>
      <c r="F124" s="57"/>
      <c r="G124" s="56"/>
      <c r="H124" s="58"/>
      <c r="I124" s="57"/>
      <c r="J124" s="56"/>
      <c r="K124" s="58"/>
      <c r="L124" s="57"/>
      <c r="M124" s="56"/>
      <c r="N124" s="58"/>
    </row>
    <row r="125" spans="2:14" x14ac:dyDescent="0.25">
      <c r="B125" s="27"/>
      <c r="C125" s="28"/>
      <c r="D125" s="27" t="s">
        <v>76</v>
      </c>
      <c r="E125" s="28"/>
      <c r="F125" s="57"/>
      <c r="G125" s="56"/>
      <c r="H125" s="58"/>
      <c r="I125" s="57"/>
      <c r="J125" s="56"/>
      <c r="K125" s="58"/>
      <c r="L125" s="57"/>
      <c r="M125" s="56"/>
      <c r="N125" s="58"/>
    </row>
    <row r="126" spans="2:14" x14ac:dyDescent="0.25">
      <c r="B126" s="27"/>
      <c r="C126" s="28"/>
      <c r="D126" s="27" t="s">
        <v>18</v>
      </c>
      <c r="E126" s="28"/>
      <c r="F126" s="57"/>
      <c r="G126" s="56"/>
      <c r="H126" s="58"/>
      <c r="I126" s="57"/>
      <c r="J126" s="56"/>
      <c r="K126" s="58"/>
      <c r="L126" s="57"/>
      <c r="M126" s="56"/>
      <c r="N126" s="58"/>
    </row>
    <row r="127" spans="2:14" x14ac:dyDescent="0.25">
      <c r="B127" s="27"/>
      <c r="C127" s="28"/>
      <c r="D127" s="27" t="s">
        <v>199</v>
      </c>
      <c r="E127" s="28"/>
      <c r="F127" s="57"/>
      <c r="G127" s="56"/>
      <c r="H127" s="58"/>
      <c r="I127" s="57"/>
      <c r="J127" s="56"/>
      <c r="K127" s="58"/>
      <c r="L127" s="57"/>
      <c r="M127" s="56"/>
      <c r="N127" s="58"/>
    </row>
    <row r="128" spans="2:14" x14ac:dyDescent="0.25">
      <c r="B128" s="27" t="s">
        <v>34</v>
      </c>
      <c r="C128" s="28"/>
      <c r="D128" s="27" t="s">
        <v>16</v>
      </c>
      <c r="E128" s="28"/>
      <c r="F128" s="57"/>
      <c r="G128" s="58"/>
      <c r="H128" s="56"/>
      <c r="I128" s="57"/>
      <c r="J128" s="58"/>
      <c r="K128" s="56"/>
      <c r="L128" s="57"/>
      <c r="M128" s="58"/>
      <c r="N128" s="56"/>
    </row>
    <row r="129" spans="2:14" x14ac:dyDescent="0.25">
      <c r="B129" s="27"/>
      <c r="C129" s="28"/>
      <c r="D129" s="27" t="s">
        <v>70</v>
      </c>
      <c r="E129" s="28"/>
      <c r="F129" s="57"/>
      <c r="G129" s="58"/>
      <c r="H129" s="56"/>
      <c r="I129" s="57"/>
      <c r="J129" s="58"/>
      <c r="K129" s="56"/>
      <c r="L129" s="57"/>
      <c r="M129" s="58"/>
      <c r="N129" s="56"/>
    </row>
    <row r="130" spans="2:14" x14ac:dyDescent="0.25">
      <c r="B130" s="27"/>
      <c r="C130" s="28"/>
      <c r="D130" s="27" t="s">
        <v>75</v>
      </c>
      <c r="E130" s="28"/>
      <c r="F130" s="57"/>
      <c r="G130" s="56"/>
      <c r="H130" s="58"/>
      <c r="I130" s="57"/>
      <c r="J130" s="56"/>
      <c r="K130" s="58"/>
      <c r="L130" s="57"/>
      <c r="M130" s="56"/>
      <c r="N130" s="58"/>
    </row>
    <row r="131" spans="2:14" x14ac:dyDescent="0.25">
      <c r="B131" s="27"/>
      <c r="C131" s="28"/>
      <c r="D131" s="27" t="s">
        <v>76</v>
      </c>
      <c r="E131" s="28"/>
      <c r="F131" s="57"/>
      <c r="G131" s="56"/>
      <c r="H131" s="58"/>
      <c r="I131" s="57"/>
      <c r="J131" s="56"/>
      <c r="K131" s="58"/>
      <c r="L131" s="57"/>
      <c r="M131" s="56"/>
      <c r="N131" s="58"/>
    </row>
    <row r="132" spans="2:14" x14ac:dyDescent="0.25">
      <c r="B132" s="27"/>
      <c r="C132" s="28"/>
      <c r="D132" s="27" t="s">
        <v>18</v>
      </c>
      <c r="E132" s="28"/>
      <c r="F132" s="57"/>
      <c r="G132" s="56"/>
      <c r="H132" s="58"/>
      <c r="I132" s="57"/>
      <c r="J132" s="56"/>
      <c r="K132" s="58"/>
      <c r="L132" s="57"/>
      <c r="M132" s="56"/>
      <c r="N132" s="58"/>
    </row>
    <row r="133" spans="2:14" x14ac:dyDescent="0.25">
      <c r="B133" s="27"/>
      <c r="C133" s="28"/>
      <c r="D133" s="27" t="s">
        <v>199</v>
      </c>
      <c r="E133" s="28"/>
      <c r="F133" s="57"/>
      <c r="G133" s="56"/>
      <c r="H133" s="58"/>
      <c r="I133" s="57"/>
      <c r="J133" s="56"/>
      <c r="K133" s="58"/>
      <c r="L133" s="57"/>
      <c r="M133" s="56"/>
      <c r="N133" s="58"/>
    </row>
    <row r="134" spans="2:14" ht="15" customHeight="1" x14ac:dyDescent="0.25"/>
    <row r="135" spans="2:14" ht="24" customHeight="1" x14ac:dyDescent="0.25">
      <c r="B135" s="21" t="s">
        <v>67</v>
      </c>
    </row>
    <row r="136" spans="2:14" x14ac:dyDescent="0.25">
      <c r="B136" s="168" t="s">
        <v>68</v>
      </c>
      <c r="C136" s="169"/>
      <c r="D136" s="168" t="s">
        <v>69</v>
      </c>
      <c r="E136" s="175"/>
      <c r="F136" s="157"/>
      <c r="G136" s="159"/>
      <c r="H136" s="180" t="s">
        <v>219</v>
      </c>
      <c r="I136" s="181"/>
      <c r="J136" s="157"/>
      <c r="K136" s="159"/>
    </row>
    <row r="137" spans="2:14" x14ac:dyDescent="0.25">
      <c r="B137" s="170"/>
      <c r="C137" s="171"/>
      <c r="D137" s="170"/>
      <c r="E137" s="176"/>
      <c r="F137" s="153" t="s">
        <v>213</v>
      </c>
      <c r="G137" s="154"/>
      <c r="H137" s="153" t="s">
        <v>218</v>
      </c>
      <c r="I137" s="154"/>
      <c r="J137" s="153"/>
      <c r="K137" s="154"/>
    </row>
    <row r="138" spans="2:14" x14ac:dyDescent="0.25">
      <c r="B138" s="170"/>
      <c r="C138" s="171"/>
      <c r="D138" s="170"/>
      <c r="E138" s="176"/>
      <c r="F138" s="151" t="s">
        <v>20</v>
      </c>
      <c r="G138" s="152"/>
      <c r="H138" s="151" t="s">
        <v>20</v>
      </c>
      <c r="I138" s="152"/>
      <c r="J138" s="151" t="s">
        <v>20</v>
      </c>
      <c r="K138" s="152"/>
    </row>
    <row r="139" spans="2:14" x14ac:dyDescent="0.25">
      <c r="B139" s="160"/>
      <c r="C139" s="162"/>
      <c r="D139" s="160"/>
      <c r="E139" s="161"/>
      <c r="F139" s="153" t="s">
        <v>22</v>
      </c>
      <c r="G139" s="154"/>
      <c r="H139" s="153" t="s">
        <v>22</v>
      </c>
      <c r="I139" s="154"/>
      <c r="J139" s="153" t="s">
        <v>22</v>
      </c>
      <c r="K139" s="154"/>
    </row>
    <row r="140" spans="2:14" x14ac:dyDescent="0.25">
      <c r="B140" s="27" t="s">
        <v>30</v>
      </c>
      <c r="C140" s="63"/>
      <c r="D140" s="27" t="s">
        <v>201</v>
      </c>
      <c r="E140" s="28"/>
      <c r="F140" s="64"/>
      <c r="G140" s="58"/>
      <c r="H140" s="64"/>
      <c r="I140" s="58"/>
      <c r="J140" s="64"/>
      <c r="K140" s="58"/>
    </row>
    <row r="141" spans="2:14" x14ac:dyDescent="0.25">
      <c r="B141" s="27"/>
      <c r="C141" s="28"/>
      <c r="D141" s="27" t="s">
        <v>202</v>
      </c>
      <c r="E141" s="28"/>
      <c r="F141" s="64"/>
      <c r="G141" s="58"/>
      <c r="H141" s="64"/>
      <c r="I141" s="58"/>
      <c r="J141" s="64"/>
      <c r="K141" s="58"/>
    </row>
    <row r="142" spans="2:14" x14ac:dyDescent="0.25">
      <c r="B142" s="27"/>
      <c r="C142" s="28"/>
      <c r="D142" s="27" t="s">
        <v>203</v>
      </c>
      <c r="E142" s="28"/>
      <c r="F142" s="64"/>
      <c r="G142" s="58"/>
      <c r="H142" s="64"/>
      <c r="I142" s="58"/>
      <c r="J142" s="64"/>
      <c r="K142" s="58"/>
    </row>
    <row r="143" spans="2:14" x14ac:dyDescent="0.25">
      <c r="B143" s="27"/>
      <c r="C143" s="63" t="s">
        <v>197</v>
      </c>
      <c r="D143" s="27" t="s">
        <v>85</v>
      </c>
      <c r="E143" s="28"/>
      <c r="F143" s="64"/>
      <c r="G143" s="58"/>
      <c r="H143" s="64"/>
      <c r="I143" s="58"/>
      <c r="J143" s="64"/>
      <c r="K143" s="58"/>
    </row>
    <row r="144" spans="2:14" x14ac:dyDescent="0.25">
      <c r="B144" s="27"/>
      <c r="C144" s="28"/>
      <c r="D144" s="27" t="s">
        <v>88</v>
      </c>
      <c r="E144" s="28"/>
      <c r="F144" s="64"/>
      <c r="G144" s="58"/>
      <c r="H144" s="64"/>
      <c r="I144" s="58"/>
      <c r="J144" s="64"/>
      <c r="K144" s="58"/>
    </row>
    <row r="145" spans="2:11" x14ac:dyDescent="0.25">
      <c r="B145" s="27"/>
      <c r="C145" s="28"/>
      <c r="D145" s="27" t="s">
        <v>198</v>
      </c>
      <c r="E145" s="28"/>
      <c r="F145" s="64"/>
      <c r="G145" s="58"/>
      <c r="H145" s="64"/>
      <c r="I145" s="58"/>
      <c r="J145" s="64"/>
      <c r="K145" s="58"/>
    </row>
    <row r="146" spans="2:11" x14ac:dyDescent="0.25">
      <c r="B146" s="27"/>
      <c r="C146" s="28"/>
      <c r="D146" s="27" t="s">
        <v>87</v>
      </c>
      <c r="E146" s="28"/>
      <c r="F146" s="64"/>
      <c r="G146" s="58"/>
      <c r="H146" s="64"/>
      <c r="I146" s="58"/>
      <c r="J146" s="64"/>
      <c r="K146" s="58"/>
    </row>
    <row r="147" spans="2:11" x14ac:dyDescent="0.25">
      <c r="B147" s="27"/>
      <c r="C147" s="28"/>
      <c r="D147" s="27" t="s">
        <v>199</v>
      </c>
      <c r="E147" s="28"/>
      <c r="F147" s="64"/>
      <c r="G147" s="58"/>
      <c r="H147" s="64"/>
      <c r="I147" s="58"/>
      <c r="J147" s="64"/>
      <c r="K147" s="58"/>
    </row>
    <row r="148" spans="2:11" x14ac:dyDescent="0.25">
      <c r="B148" s="27"/>
      <c r="C148" s="28" t="s">
        <v>200</v>
      </c>
      <c r="D148" s="27" t="s">
        <v>85</v>
      </c>
      <c r="E148" s="28"/>
      <c r="F148" s="64"/>
      <c r="G148" s="58"/>
      <c r="H148" s="64"/>
      <c r="I148" s="58"/>
      <c r="J148" s="64"/>
      <c r="K148" s="58"/>
    </row>
    <row r="149" spans="2:11" x14ac:dyDescent="0.25">
      <c r="B149" s="27"/>
      <c r="C149" s="28"/>
      <c r="D149" s="27" t="s">
        <v>88</v>
      </c>
      <c r="E149" s="28"/>
      <c r="F149" s="64"/>
      <c r="G149" s="58"/>
      <c r="H149" s="64"/>
      <c r="I149" s="58"/>
      <c r="J149" s="64"/>
      <c r="K149" s="58"/>
    </row>
    <row r="150" spans="2:11" x14ac:dyDescent="0.25">
      <c r="B150" s="27"/>
      <c r="C150" s="28"/>
      <c r="D150" s="27" t="s">
        <v>198</v>
      </c>
      <c r="E150" s="28"/>
      <c r="F150" s="64"/>
      <c r="G150" s="58"/>
      <c r="H150" s="64"/>
      <c r="I150" s="58"/>
      <c r="J150" s="64"/>
      <c r="K150" s="58"/>
    </row>
    <row r="151" spans="2:11" x14ac:dyDescent="0.25">
      <c r="B151" s="27"/>
      <c r="C151" s="28"/>
      <c r="D151" s="27" t="s">
        <v>87</v>
      </c>
      <c r="E151" s="28"/>
      <c r="F151" s="64"/>
      <c r="G151" s="58"/>
      <c r="H151" s="64"/>
      <c r="I151" s="58"/>
      <c r="J151" s="64"/>
      <c r="K151" s="58"/>
    </row>
    <row r="152" spans="2:11" x14ac:dyDescent="0.25">
      <c r="B152" s="27"/>
      <c r="C152" s="28"/>
      <c r="D152" s="27" t="s">
        <v>199</v>
      </c>
      <c r="E152" s="28"/>
      <c r="F152" s="64"/>
      <c r="G152" s="58"/>
      <c r="H152" s="64"/>
      <c r="I152" s="58"/>
      <c r="J152" s="64"/>
      <c r="K152" s="58"/>
    </row>
    <row r="153" spans="2:11" x14ac:dyDescent="0.25">
      <c r="B153" s="27" t="s">
        <v>32</v>
      </c>
      <c r="C153" s="28"/>
      <c r="D153" s="27" t="s">
        <v>96</v>
      </c>
      <c r="E153" s="28"/>
      <c r="F153" s="64"/>
      <c r="G153" s="58"/>
      <c r="H153" s="64"/>
      <c r="I153" s="58"/>
      <c r="J153" s="64"/>
      <c r="K153" s="58"/>
    </row>
    <row r="154" spans="2:11" x14ac:dyDescent="0.25">
      <c r="B154" s="27"/>
      <c r="C154" s="28"/>
      <c r="D154" s="27" t="s">
        <v>80</v>
      </c>
      <c r="E154" s="28"/>
      <c r="F154" s="64"/>
      <c r="G154" s="58"/>
      <c r="H154" s="64"/>
      <c r="I154" s="58"/>
      <c r="J154" s="64"/>
      <c r="K154" s="58"/>
    </row>
    <row r="155" spans="2:11" x14ac:dyDescent="0.25">
      <c r="B155" s="27"/>
      <c r="C155" s="28"/>
      <c r="D155" s="27" t="s">
        <v>201</v>
      </c>
      <c r="E155" s="28"/>
      <c r="F155" s="64"/>
      <c r="G155" s="58"/>
      <c r="H155" s="64"/>
      <c r="I155" s="58"/>
      <c r="J155" s="64"/>
      <c r="K155" s="58"/>
    </row>
    <row r="156" spans="2:11" x14ac:dyDescent="0.25">
      <c r="B156" s="27"/>
      <c r="C156" s="28"/>
      <c r="D156" s="27" t="s">
        <v>81</v>
      </c>
      <c r="E156" s="28"/>
      <c r="F156" s="64"/>
      <c r="G156" s="58"/>
      <c r="H156" s="64"/>
      <c r="I156" s="58"/>
      <c r="J156" s="64"/>
      <c r="K156" s="58"/>
    </row>
    <row r="157" spans="2:11" x14ac:dyDescent="0.25">
      <c r="B157" s="27"/>
      <c r="C157" s="28"/>
      <c r="D157" s="27" t="s">
        <v>202</v>
      </c>
      <c r="E157" s="28"/>
      <c r="F157" s="64"/>
      <c r="G157" s="58"/>
      <c r="H157" s="64"/>
      <c r="I157" s="58"/>
      <c r="J157" s="64"/>
      <c r="K157" s="58"/>
    </row>
    <row r="158" spans="2:11" x14ac:dyDescent="0.25">
      <c r="B158" s="27"/>
      <c r="C158" s="28"/>
      <c r="D158" s="27" t="s">
        <v>82</v>
      </c>
      <c r="E158" s="28"/>
      <c r="F158" s="64"/>
      <c r="G158" s="58"/>
      <c r="H158" s="64"/>
      <c r="I158" s="58"/>
      <c r="J158" s="64"/>
      <c r="K158" s="58"/>
    </row>
    <row r="159" spans="2:11" x14ac:dyDescent="0.25">
      <c r="B159" s="27"/>
      <c r="C159" s="28"/>
      <c r="D159" s="27" t="s">
        <v>203</v>
      </c>
      <c r="E159" s="28"/>
      <c r="F159" s="64"/>
      <c r="G159" s="58"/>
      <c r="H159" s="64"/>
      <c r="I159" s="58"/>
      <c r="J159" s="64"/>
      <c r="K159" s="58"/>
    </row>
    <row r="160" spans="2:11" x14ac:dyDescent="0.25">
      <c r="B160" s="27"/>
      <c r="C160" s="28"/>
      <c r="D160" s="27" t="s">
        <v>83</v>
      </c>
      <c r="E160" s="28"/>
      <c r="F160" s="64"/>
      <c r="G160" s="58"/>
      <c r="H160" s="64"/>
      <c r="I160" s="58"/>
      <c r="J160" s="64"/>
      <c r="K160" s="58"/>
    </row>
    <row r="161" spans="2:11" x14ac:dyDescent="0.25">
      <c r="B161" s="27"/>
      <c r="C161" s="63" t="s">
        <v>197</v>
      </c>
      <c r="D161" s="27" t="s">
        <v>85</v>
      </c>
      <c r="E161" s="28"/>
      <c r="F161" s="64"/>
      <c r="G161" s="58"/>
      <c r="H161" s="64"/>
      <c r="I161" s="58"/>
      <c r="J161" s="64"/>
      <c r="K161" s="58"/>
    </row>
    <row r="162" spans="2:11" x14ac:dyDescent="0.25">
      <c r="B162" s="27"/>
      <c r="C162" s="28"/>
      <c r="D162" s="27" t="s">
        <v>88</v>
      </c>
      <c r="E162" s="28"/>
      <c r="F162" s="64"/>
      <c r="G162" s="58"/>
      <c r="H162" s="64"/>
      <c r="I162" s="58"/>
      <c r="J162" s="64"/>
      <c r="K162" s="58"/>
    </row>
    <row r="163" spans="2:11" x14ac:dyDescent="0.25">
      <c r="B163" s="27"/>
      <c r="C163" s="28"/>
      <c r="D163" s="27" t="s">
        <v>198</v>
      </c>
      <c r="E163" s="28"/>
      <c r="F163" s="64"/>
      <c r="G163" s="58"/>
      <c r="H163" s="64"/>
      <c r="I163" s="58"/>
      <c r="J163" s="64"/>
      <c r="K163" s="58"/>
    </row>
    <row r="164" spans="2:11" x14ac:dyDescent="0.25">
      <c r="B164" s="27"/>
      <c r="C164" s="28"/>
      <c r="D164" s="27" t="s">
        <v>87</v>
      </c>
      <c r="E164" s="28"/>
      <c r="F164" s="64"/>
      <c r="G164" s="58"/>
      <c r="H164" s="64"/>
      <c r="I164" s="58"/>
      <c r="J164" s="64"/>
      <c r="K164" s="58"/>
    </row>
    <row r="165" spans="2:11" x14ac:dyDescent="0.25">
      <c r="B165" s="27"/>
      <c r="C165" s="28"/>
      <c r="D165" s="27" t="s">
        <v>199</v>
      </c>
      <c r="E165" s="28"/>
      <c r="F165" s="64"/>
      <c r="G165" s="58"/>
      <c r="H165" s="64"/>
      <c r="I165" s="58"/>
      <c r="J165" s="64"/>
      <c r="K165" s="58"/>
    </row>
    <row r="166" spans="2:11" x14ac:dyDescent="0.25">
      <c r="B166" s="27"/>
      <c r="C166" s="28" t="s">
        <v>200</v>
      </c>
      <c r="D166" s="27" t="s">
        <v>85</v>
      </c>
      <c r="E166" s="28"/>
      <c r="F166" s="64"/>
      <c r="G166" s="58"/>
      <c r="H166" s="64"/>
      <c r="I166" s="58"/>
      <c r="J166" s="64"/>
      <c r="K166" s="58"/>
    </row>
    <row r="167" spans="2:11" x14ac:dyDescent="0.25">
      <c r="B167" s="27"/>
      <c r="C167" s="28"/>
      <c r="D167" s="27" t="s">
        <v>88</v>
      </c>
      <c r="E167" s="28"/>
      <c r="F167" s="64"/>
      <c r="G167" s="58"/>
      <c r="H167" s="64"/>
      <c r="I167" s="58"/>
      <c r="J167" s="64"/>
      <c r="K167" s="58"/>
    </row>
    <row r="168" spans="2:11" x14ac:dyDescent="0.25">
      <c r="B168" s="27"/>
      <c r="C168" s="28"/>
      <c r="D168" s="27" t="s">
        <v>198</v>
      </c>
      <c r="E168" s="28"/>
      <c r="F168" s="64"/>
      <c r="G168" s="58"/>
      <c r="H168" s="64"/>
      <c r="I168" s="58"/>
      <c r="J168" s="64"/>
      <c r="K168" s="58"/>
    </row>
    <row r="169" spans="2:11" x14ac:dyDescent="0.25">
      <c r="B169" s="27"/>
      <c r="C169" s="28"/>
      <c r="D169" s="27" t="s">
        <v>87</v>
      </c>
      <c r="E169" s="28"/>
      <c r="F169" s="64"/>
      <c r="G169" s="58"/>
      <c r="H169" s="64"/>
      <c r="I169" s="58"/>
      <c r="J169" s="64"/>
      <c r="K169" s="58"/>
    </row>
    <row r="170" spans="2:11" x14ac:dyDescent="0.25">
      <c r="B170" s="27"/>
      <c r="C170" s="28"/>
      <c r="D170" s="27" t="s">
        <v>199</v>
      </c>
      <c r="E170" s="28"/>
      <c r="F170" s="64"/>
      <c r="G170" s="58"/>
      <c r="H170" s="64"/>
      <c r="I170" s="58"/>
      <c r="J170" s="64"/>
      <c r="K170" s="58"/>
    </row>
    <row r="171" spans="2:11" x14ac:dyDescent="0.25">
      <c r="B171" s="27" t="s">
        <v>33</v>
      </c>
      <c r="C171" s="28"/>
      <c r="D171" s="27" t="s">
        <v>96</v>
      </c>
      <c r="E171" s="28"/>
      <c r="F171" s="64"/>
      <c r="G171" s="58"/>
      <c r="H171" s="64"/>
      <c r="I171" s="58"/>
      <c r="J171" s="64"/>
      <c r="K171" s="58"/>
    </row>
    <row r="172" spans="2:11" x14ac:dyDescent="0.25">
      <c r="B172" s="27"/>
      <c r="C172" s="28"/>
      <c r="D172" s="27" t="s">
        <v>80</v>
      </c>
      <c r="E172" s="28"/>
      <c r="F172" s="64"/>
      <c r="G172" s="58"/>
      <c r="H172" s="64"/>
      <c r="I172" s="58"/>
      <c r="J172" s="64"/>
      <c r="K172" s="58"/>
    </row>
    <row r="173" spans="2:11" x14ac:dyDescent="0.25">
      <c r="B173" s="27"/>
      <c r="C173" s="28"/>
      <c r="D173" s="27" t="s">
        <v>201</v>
      </c>
      <c r="E173" s="28"/>
      <c r="F173" s="64"/>
      <c r="G173" s="58"/>
      <c r="H173" s="64"/>
      <c r="I173" s="58"/>
      <c r="J173" s="64"/>
      <c r="K173" s="58"/>
    </row>
    <row r="174" spans="2:11" x14ac:dyDescent="0.25">
      <c r="B174" s="27"/>
      <c r="C174" s="28"/>
      <c r="D174" s="27" t="s">
        <v>81</v>
      </c>
      <c r="E174" s="28"/>
      <c r="F174" s="64"/>
      <c r="G174" s="58"/>
      <c r="H174" s="64"/>
      <c r="I174" s="58"/>
      <c r="J174" s="64"/>
      <c r="K174" s="58"/>
    </row>
    <row r="175" spans="2:11" x14ac:dyDescent="0.25">
      <c r="B175" s="27"/>
      <c r="C175" s="28"/>
      <c r="D175" s="27" t="s">
        <v>202</v>
      </c>
      <c r="E175" s="28"/>
      <c r="F175" s="64"/>
      <c r="G175" s="58"/>
      <c r="H175" s="64"/>
      <c r="I175" s="58"/>
      <c r="J175" s="64"/>
      <c r="K175" s="58"/>
    </row>
    <row r="176" spans="2:11" x14ac:dyDescent="0.25">
      <c r="B176" s="27"/>
      <c r="C176" s="28"/>
      <c r="D176" s="27" t="s">
        <v>82</v>
      </c>
      <c r="E176" s="28"/>
      <c r="F176" s="64"/>
      <c r="G176" s="58"/>
      <c r="H176" s="64"/>
      <c r="I176" s="58"/>
      <c r="J176" s="64"/>
      <c r="K176" s="58"/>
    </row>
    <row r="177" spans="2:11" x14ac:dyDescent="0.25">
      <c r="B177" s="27"/>
      <c r="C177" s="28"/>
      <c r="D177" s="27" t="s">
        <v>203</v>
      </c>
      <c r="E177" s="28"/>
      <c r="F177" s="64"/>
      <c r="G177" s="58"/>
      <c r="H177" s="64"/>
      <c r="I177" s="58"/>
      <c r="J177" s="64"/>
      <c r="K177" s="58"/>
    </row>
    <row r="178" spans="2:11" x14ac:dyDescent="0.25">
      <c r="B178" s="27"/>
      <c r="C178" s="28"/>
      <c r="D178" s="27" t="s">
        <v>83</v>
      </c>
      <c r="E178" s="28"/>
      <c r="F178" s="64"/>
      <c r="G178" s="58"/>
      <c r="H178" s="64"/>
      <c r="I178" s="58"/>
      <c r="J178" s="64"/>
      <c r="K178" s="58"/>
    </row>
    <row r="179" spans="2:11" x14ac:dyDescent="0.25">
      <c r="B179" s="27"/>
      <c r="C179" s="63" t="s">
        <v>197</v>
      </c>
      <c r="D179" s="27" t="s">
        <v>85</v>
      </c>
      <c r="E179" s="28"/>
      <c r="F179" s="64"/>
      <c r="G179" s="58"/>
      <c r="H179" s="64"/>
      <c r="I179" s="58"/>
      <c r="J179" s="64"/>
      <c r="K179" s="58"/>
    </row>
    <row r="180" spans="2:11" x14ac:dyDescent="0.25">
      <c r="B180" s="27"/>
      <c r="C180" s="28"/>
      <c r="D180" s="27" t="s">
        <v>88</v>
      </c>
      <c r="E180" s="28"/>
      <c r="F180" s="64"/>
      <c r="G180" s="58"/>
      <c r="H180" s="64"/>
      <c r="I180" s="58"/>
      <c r="J180" s="64"/>
      <c r="K180" s="58"/>
    </row>
    <row r="181" spans="2:11" x14ac:dyDescent="0.25">
      <c r="B181" s="27"/>
      <c r="C181" s="28"/>
      <c r="D181" s="27" t="s">
        <v>198</v>
      </c>
      <c r="E181" s="28"/>
      <c r="F181" s="64"/>
      <c r="G181" s="58"/>
      <c r="H181" s="64"/>
      <c r="I181" s="58"/>
      <c r="J181" s="64"/>
      <c r="K181" s="58"/>
    </row>
    <row r="182" spans="2:11" x14ac:dyDescent="0.25">
      <c r="B182" s="27"/>
      <c r="C182" s="28"/>
      <c r="D182" s="27" t="s">
        <v>87</v>
      </c>
      <c r="E182" s="28"/>
      <c r="F182" s="64"/>
      <c r="G182" s="58"/>
      <c r="H182" s="64"/>
      <c r="I182" s="58"/>
      <c r="J182" s="64"/>
      <c r="K182" s="58"/>
    </row>
    <row r="183" spans="2:11" x14ac:dyDescent="0.25">
      <c r="B183" s="27"/>
      <c r="C183" s="28"/>
      <c r="D183" s="27" t="s">
        <v>199</v>
      </c>
      <c r="E183" s="28"/>
      <c r="F183" s="64"/>
      <c r="G183" s="58"/>
      <c r="H183" s="64"/>
      <c r="I183" s="58"/>
      <c r="J183" s="64"/>
      <c r="K183" s="58"/>
    </row>
    <row r="184" spans="2:11" x14ac:dyDescent="0.25">
      <c r="B184" s="27"/>
      <c r="C184" s="28" t="s">
        <v>200</v>
      </c>
      <c r="D184" s="27" t="s">
        <v>85</v>
      </c>
      <c r="E184" s="28"/>
      <c r="F184" s="64"/>
      <c r="G184" s="58"/>
      <c r="H184" s="64"/>
      <c r="I184" s="58"/>
      <c r="J184" s="64"/>
      <c r="K184" s="58"/>
    </row>
    <row r="185" spans="2:11" x14ac:dyDescent="0.25">
      <c r="B185" s="27"/>
      <c r="C185" s="28"/>
      <c r="D185" s="27" t="s">
        <v>88</v>
      </c>
      <c r="E185" s="28"/>
      <c r="F185" s="64"/>
      <c r="G185" s="58"/>
      <c r="H185" s="64"/>
      <c r="I185" s="58"/>
      <c r="J185" s="64"/>
      <c r="K185" s="58"/>
    </row>
    <row r="186" spans="2:11" x14ac:dyDescent="0.25">
      <c r="B186" s="27"/>
      <c r="C186" s="28"/>
      <c r="D186" s="27" t="s">
        <v>198</v>
      </c>
      <c r="E186" s="28"/>
      <c r="F186" s="64"/>
      <c r="G186" s="58"/>
      <c r="H186" s="64"/>
      <c r="I186" s="58"/>
      <c r="J186" s="64"/>
      <c r="K186" s="58"/>
    </row>
    <row r="187" spans="2:11" x14ac:dyDescent="0.25">
      <c r="B187" s="27"/>
      <c r="C187" s="28"/>
      <c r="D187" s="27" t="s">
        <v>87</v>
      </c>
      <c r="E187" s="28"/>
      <c r="F187" s="64"/>
      <c r="G187" s="58"/>
      <c r="H187" s="64"/>
      <c r="I187" s="58"/>
      <c r="J187" s="64"/>
      <c r="K187" s="58"/>
    </row>
    <row r="188" spans="2:11" x14ac:dyDescent="0.25">
      <c r="B188" s="27"/>
      <c r="C188" s="28"/>
      <c r="D188" s="27" t="s">
        <v>199</v>
      </c>
      <c r="E188" s="28"/>
      <c r="F188" s="64"/>
      <c r="G188" s="58"/>
      <c r="H188" s="64"/>
      <c r="I188" s="58"/>
      <c r="J188" s="64"/>
      <c r="K188" s="58"/>
    </row>
    <row r="189" spans="2:11" x14ac:dyDescent="0.25">
      <c r="B189" s="27" t="s">
        <v>34</v>
      </c>
      <c r="C189" s="28"/>
      <c r="D189" s="27" t="s">
        <v>96</v>
      </c>
      <c r="E189" s="28"/>
      <c r="F189" s="64"/>
      <c r="G189" s="58"/>
      <c r="H189" s="64"/>
      <c r="I189" s="58"/>
      <c r="J189" s="64"/>
      <c r="K189" s="58"/>
    </row>
    <row r="190" spans="2:11" x14ac:dyDescent="0.25">
      <c r="B190" s="27"/>
      <c r="C190" s="28"/>
      <c r="D190" s="27" t="s">
        <v>80</v>
      </c>
      <c r="E190" s="28"/>
      <c r="F190" s="64"/>
      <c r="G190" s="58"/>
      <c r="H190" s="64"/>
      <c r="I190" s="58"/>
      <c r="J190" s="64"/>
      <c r="K190" s="58"/>
    </row>
    <row r="191" spans="2:11" x14ac:dyDescent="0.25">
      <c r="B191" s="27"/>
      <c r="C191" s="28"/>
      <c r="D191" s="27" t="s">
        <v>201</v>
      </c>
      <c r="E191" s="28"/>
      <c r="F191" s="64"/>
      <c r="G191" s="58"/>
      <c r="H191" s="64"/>
      <c r="I191" s="58"/>
      <c r="J191" s="64"/>
      <c r="K191" s="58"/>
    </row>
    <row r="192" spans="2:11" x14ac:dyDescent="0.25">
      <c r="B192" s="27"/>
      <c r="C192" s="28"/>
      <c r="D192" s="27" t="s">
        <v>81</v>
      </c>
      <c r="E192" s="28"/>
      <c r="F192" s="64"/>
      <c r="G192" s="58"/>
      <c r="H192" s="64"/>
      <c r="I192" s="58"/>
      <c r="J192" s="64"/>
      <c r="K192" s="58"/>
    </row>
    <row r="193" spans="2:11" x14ac:dyDescent="0.25">
      <c r="B193" s="27"/>
      <c r="C193" s="28"/>
      <c r="D193" s="27" t="s">
        <v>202</v>
      </c>
      <c r="E193" s="28"/>
      <c r="F193" s="64"/>
      <c r="G193" s="58"/>
      <c r="H193" s="64"/>
      <c r="I193" s="58"/>
      <c r="J193" s="64"/>
      <c r="K193" s="58"/>
    </row>
    <row r="194" spans="2:11" x14ac:dyDescent="0.25">
      <c r="B194" s="27"/>
      <c r="C194" s="28"/>
      <c r="D194" s="27" t="s">
        <v>82</v>
      </c>
      <c r="E194" s="28"/>
      <c r="F194" s="64"/>
      <c r="G194" s="58"/>
      <c r="H194" s="64"/>
      <c r="I194" s="58"/>
      <c r="J194" s="64"/>
      <c r="K194" s="58"/>
    </row>
    <row r="195" spans="2:11" x14ac:dyDescent="0.25">
      <c r="B195" s="27"/>
      <c r="C195" s="28"/>
      <c r="D195" s="27" t="s">
        <v>203</v>
      </c>
      <c r="E195" s="28"/>
      <c r="F195" s="64"/>
      <c r="G195" s="58"/>
      <c r="H195" s="64"/>
      <c r="I195" s="58"/>
      <c r="J195" s="64"/>
      <c r="K195" s="58"/>
    </row>
    <row r="196" spans="2:11" x14ac:dyDescent="0.25">
      <c r="B196" s="27"/>
      <c r="C196" s="28"/>
      <c r="D196" s="27" t="s">
        <v>83</v>
      </c>
      <c r="E196" s="28"/>
      <c r="F196" s="64"/>
      <c r="G196" s="58"/>
      <c r="H196" s="64"/>
      <c r="I196" s="58"/>
      <c r="J196" s="64"/>
      <c r="K196" s="58"/>
    </row>
    <row r="197" spans="2:11" x14ac:dyDescent="0.25">
      <c r="B197" s="27"/>
      <c r="C197" s="63" t="s">
        <v>197</v>
      </c>
      <c r="D197" s="27" t="s">
        <v>85</v>
      </c>
      <c r="E197" s="28"/>
      <c r="F197" s="64"/>
      <c r="G197" s="58"/>
      <c r="H197" s="64"/>
      <c r="I197" s="58"/>
      <c r="J197" s="64"/>
      <c r="K197" s="58"/>
    </row>
    <row r="198" spans="2:11" x14ac:dyDescent="0.25">
      <c r="B198" s="27"/>
      <c r="C198" s="28"/>
      <c r="D198" s="27" t="s">
        <v>88</v>
      </c>
      <c r="E198" s="28"/>
      <c r="F198" s="64"/>
      <c r="G198" s="58"/>
      <c r="H198" s="64"/>
      <c r="I198" s="58"/>
      <c r="J198" s="64"/>
      <c r="K198" s="58"/>
    </row>
    <row r="199" spans="2:11" x14ac:dyDescent="0.25">
      <c r="B199" s="27"/>
      <c r="C199" s="28"/>
      <c r="D199" s="27" t="s">
        <v>198</v>
      </c>
      <c r="E199" s="28"/>
      <c r="F199" s="64"/>
      <c r="G199" s="58"/>
      <c r="H199" s="64"/>
      <c r="I199" s="58"/>
      <c r="J199" s="64"/>
      <c r="K199" s="58"/>
    </row>
    <row r="200" spans="2:11" x14ac:dyDescent="0.25">
      <c r="B200" s="27"/>
      <c r="C200" s="28"/>
      <c r="D200" s="27" t="s">
        <v>87</v>
      </c>
      <c r="E200" s="28"/>
      <c r="F200" s="64"/>
      <c r="G200" s="58"/>
      <c r="H200" s="64"/>
      <c r="I200" s="58"/>
      <c r="J200" s="64"/>
      <c r="K200" s="58"/>
    </row>
    <row r="201" spans="2:11" x14ac:dyDescent="0.25">
      <c r="B201" s="27"/>
      <c r="C201" s="28"/>
      <c r="D201" s="27" t="s">
        <v>199</v>
      </c>
      <c r="E201" s="28"/>
      <c r="F201" s="64"/>
      <c r="G201" s="58"/>
      <c r="H201" s="64"/>
      <c r="I201" s="58"/>
      <c r="J201" s="64"/>
      <c r="K201" s="58"/>
    </row>
    <row r="202" spans="2:11" x14ac:dyDescent="0.25">
      <c r="B202" s="27"/>
      <c r="C202" s="28" t="s">
        <v>200</v>
      </c>
      <c r="D202" s="27" t="s">
        <v>85</v>
      </c>
      <c r="E202" s="28"/>
      <c r="F202" s="64"/>
      <c r="G202" s="58"/>
      <c r="H202" s="64"/>
      <c r="I202" s="58"/>
      <c r="J202" s="64"/>
      <c r="K202" s="58"/>
    </row>
    <row r="203" spans="2:11" x14ac:dyDescent="0.25">
      <c r="B203" s="27"/>
      <c r="C203" s="28"/>
      <c r="D203" s="27" t="s">
        <v>88</v>
      </c>
      <c r="E203" s="28"/>
      <c r="F203" s="64"/>
      <c r="G203" s="58"/>
      <c r="H203" s="64"/>
      <c r="I203" s="58"/>
      <c r="J203" s="64"/>
      <c r="K203" s="58"/>
    </row>
    <row r="204" spans="2:11" x14ac:dyDescent="0.25">
      <c r="B204" s="27"/>
      <c r="C204" s="28"/>
      <c r="D204" s="27" t="s">
        <v>198</v>
      </c>
      <c r="E204" s="28"/>
      <c r="F204" s="64"/>
      <c r="G204" s="58"/>
      <c r="H204" s="64"/>
      <c r="I204" s="58"/>
      <c r="J204" s="64"/>
      <c r="K204" s="58"/>
    </row>
    <row r="205" spans="2:11" x14ac:dyDescent="0.25">
      <c r="B205" s="27"/>
      <c r="C205" s="28"/>
      <c r="D205" s="27" t="s">
        <v>87</v>
      </c>
      <c r="E205" s="28"/>
      <c r="F205" s="64"/>
      <c r="G205" s="58"/>
      <c r="H205" s="64"/>
      <c r="I205" s="58"/>
      <c r="J205" s="64"/>
      <c r="K205" s="58"/>
    </row>
    <row r="206" spans="2:11" ht="15" customHeight="1" x14ac:dyDescent="0.25">
      <c r="B206" s="27"/>
      <c r="C206" s="28"/>
      <c r="D206" s="27" t="s">
        <v>199</v>
      </c>
      <c r="E206" s="28"/>
      <c r="F206" s="64"/>
      <c r="G206" s="58"/>
      <c r="H206" s="64"/>
      <c r="I206" s="58"/>
      <c r="J206" s="64"/>
      <c r="K206" s="58"/>
    </row>
    <row r="208" spans="2:11" x14ac:dyDescent="0.25">
      <c r="B208" s="21" t="s">
        <v>206</v>
      </c>
    </row>
    <row r="209" spans="2:13" x14ac:dyDescent="0.25">
      <c r="B209" s="168" t="s">
        <v>77</v>
      </c>
      <c r="C209" s="169"/>
      <c r="D209" s="168" t="s">
        <v>78</v>
      </c>
      <c r="E209" s="169"/>
      <c r="F209" s="157" t="s">
        <v>79</v>
      </c>
      <c r="G209" s="159"/>
      <c r="H209" s="157" t="s">
        <v>204</v>
      </c>
      <c r="I209" s="159"/>
      <c r="J209" s="157" t="s">
        <v>205</v>
      </c>
      <c r="K209" s="159"/>
      <c r="L209" s="157" t="s">
        <v>217</v>
      </c>
      <c r="M209" s="159"/>
    </row>
    <row r="210" spans="2:13" x14ac:dyDescent="0.25">
      <c r="B210" s="170"/>
      <c r="C210" s="171"/>
      <c r="D210" s="170"/>
      <c r="E210" s="171"/>
      <c r="F210" s="163"/>
      <c r="G210" s="164"/>
      <c r="H210" s="163"/>
      <c r="I210" s="164"/>
      <c r="J210" s="163"/>
      <c r="K210" s="164"/>
      <c r="L210" s="163"/>
      <c r="M210" s="164"/>
    </row>
    <row r="211" spans="2:13" x14ac:dyDescent="0.25">
      <c r="B211" s="170"/>
      <c r="C211" s="171"/>
      <c r="D211" s="170"/>
      <c r="E211" s="171"/>
      <c r="F211" s="151" t="s">
        <v>4</v>
      </c>
      <c r="G211" s="152"/>
      <c r="H211" s="151" t="s">
        <v>4</v>
      </c>
      <c r="I211" s="152"/>
      <c r="J211" s="151" t="s">
        <v>4</v>
      </c>
      <c r="K211" s="152"/>
      <c r="L211" s="151" t="s">
        <v>4</v>
      </c>
      <c r="M211" s="152"/>
    </row>
    <row r="212" spans="2:13" x14ac:dyDescent="0.25">
      <c r="B212" s="160"/>
      <c r="C212" s="162"/>
      <c r="D212" s="153" t="s">
        <v>10</v>
      </c>
      <c r="E212" s="154"/>
      <c r="F212" s="153" t="s">
        <v>10</v>
      </c>
      <c r="G212" s="154"/>
      <c r="H212" s="153" t="s">
        <v>10</v>
      </c>
      <c r="I212" s="154"/>
      <c r="J212" s="153" t="s">
        <v>10</v>
      </c>
      <c r="K212" s="154"/>
      <c r="L212" s="153" t="s">
        <v>10</v>
      </c>
      <c r="M212" s="154"/>
    </row>
    <row r="213" spans="2:13" x14ac:dyDescent="0.25">
      <c r="B213" s="25" t="s">
        <v>92</v>
      </c>
      <c r="C213" s="28"/>
      <c r="D213" s="28"/>
      <c r="E213" s="28"/>
      <c r="F213" s="59"/>
      <c r="G213" s="59"/>
      <c r="H213" s="59"/>
      <c r="I213" s="59"/>
      <c r="J213" s="59"/>
      <c r="K213" s="60"/>
      <c r="L213" s="59"/>
      <c r="M213" s="60"/>
    </row>
    <row r="214" spans="2:13" x14ac:dyDescent="0.25">
      <c r="B214" s="27" t="s">
        <v>53</v>
      </c>
      <c r="C214" s="28"/>
      <c r="D214" s="27" t="s">
        <v>16</v>
      </c>
      <c r="E214" s="29"/>
      <c r="F214" s="61"/>
      <c r="G214" s="60"/>
      <c r="H214" s="61"/>
      <c r="I214" s="60"/>
      <c r="J214" s="61"/>
      <c r="K214" s="60"/>
      <c r="L214" s="61"/>
      <c r="M214" s="60"/>
    </row>
    <row r="215" spans="2:13" x14ac:dyDescent="0.25">
      <c r="B215" s="27"/>
      <c r="C215" s="28"/>
      <c r="D215" s="27" t="s">
        <v>17</v>
      </c>
      <c r="E215" s="29"/>
      <c r="F215" s="61"/>
      <c r="G215" s="60"/>
      <c r="H215" s="61"/>
      <c r="I215" s="60"/>
      <c r="J215" s="61"/>
      <c r="K215" s="60"/>
      <c r="L215" s="61"/>
      <c r="M215" s="60"/>
    </row>
    <row r="216" spans="2:13" x14ac:dyDescent="0.25">
      <c r="B216" s="27"/>
      <c r="C216" s="28"/>
      <c r="D216" s="27" t="s">
        <v>18</v>
      </c>
      <c r="E216" s="29"/>
      <c r="F216" s="61"/>
      <c r="G216" s="60"/>
      <c r="H216" s="61"/>
      <c r="I216" s="60"/>
      <c r="J216" s="61"/>
      <c r="K216" s="60"/>
      <c r="L216" s="61"/>
      <c r="M216" s="60"/>
    </row>
    <row r="217" spans="2:13" x14ac:dyDescent="0.25">
      <c r="B217" s="27"/>
      <c r="C217" s="28"/>
      <c r="D217" s="27" t="s">
        <v>25</v>
      </c>
      <c r="E217" s="29"/>
      <c r="F217" s="61"/>
      <c r="G217" s="60"/>
      <c r="H217" s="61"/>
      <c r="I217" s="60"/>
      <c r="J217" s="61"/>
      <c r="K217" s="60"/>
      <c r="L217" s="61"/>
      <c r="M217" s="60"/>
    </row>
    <row r="218" spans="2:13" x14ac:dyDescent="0.25">
      <c r="B218" s="27"/>
      <c r="C218" s="28"/>
      <c r="D218" s="27" t="s">
        <v>26</v>
      </c>
      <c r="E218" s="29"/>
      <c r="F218" s="61"/>
      <c r="G218" s="60"/>
      <c r="H218" s="61"/>
      <c r="I218" s="60"/>
      <c r="J218" s="61"/>
      <c r="K218" s="60"/>
      <c r="L218" s="61"/>
      <c r="M218" s="60"/>
    </row>
    <row r="219" spans="2:13" x14ac:dyDescent="0.25">
      <c r="B219" s="27"/>
      <c r="C219" s="28"/>
      <c r="D219" s="27" t="s">
        <v>71</v>
      </c>
      <c r="E219" s="29"/>
      <c r="F219" s="61"/>
      <c r="G219" s="60"/>
      <c r="H219" s="61"/>
      <c r="I219" s="60"/>
      <c r="J219" s="61"/>
      <c r="K219" s="60"/>
      <c r="L219" s="61"/>
      <c r="M219" s="60"/>
    </row>
    <row r="220" spans="2:13" x14ac:dyDescent="0.25">
      <c r="B220" s="27" t="s">
        <v>54</v>
      </c>
      <c r="C220" s="28"/>
      <c r="D220" s="27" t="s">
        <v>80</v>
      </c>
      <c r="E220" s="29"/>
      <c r="F220" s="61"/>
      <c r="G220" s="60"/>
      <c r="H220" s="61"/>
      <c r="I220" s="60"/>
      <c r="J220" s="61"/>
      <c r="K220" s="60"/>
      <c r="L220" s="61"/>
      <c r="M220" s="60"/>
    </row>
    <row r="221" spans="2:13" x14ac:dyDescent="0.25">
      <c r="B221" s="27"/>
      <c r="C221" s="28"/>
      <c r="D221" s="27" t="s">
        <v>81</v>
      </c>
      <c r="E221" s="29"/>
      <c r="F221" s="61"/>
      <c r="G221" s="60"/>
      <c r="H221" s="61"/>
      <c r="I221" s="60"/>
      <c r="J221" s="61"/>
      <c r="K221" s="60"/>
      <c r="L221" s="61"/>
      <c r="M221" s="60"/>
    </row>
    <row r="222" spans="2:13" x14ac:dyDescent="0.25">
      <c r="B222" s="27"/>
      <c r="C222" s="28"/>
      <c r="D222" s="27" t="s">
        <v>82</v>
      </c>
      <c r="E222" s="29"/>
      <c r="F222" s="61"/>
      <c r="G222" s="60"/>
      <c r="H222" s="61"/>
      <c r="I222" s="60"/>
      <c r="J222" s="61"/>
      <c r="K222" s="60"/>
      <c r="L222" s="61"/>
      <c r="M222" s="60"/>
    </row>
    <row r="223" spans="2:13" x14ac:dyDescent="0.25">
      <c r="B223" s="27"/>
      <c r="C223" s="28"/>
      <c r="D223" s="27" t="s">
        <v>83</v>
      </c>
      <c r="E223" s="29"/>
      <c r="F223" s="61"/>
      <c r="G223" s="60"/>
      <c r="H223" s="61"/>
      <c r="I223" s="60"/>
      <c r="J223" s="61"/>
      <c r="K223" s="60"/>
      <c r="L223" s="61"/>
      <c r="M223" s="60"/>
    </row>
    <row r="224" spans="2:13" x14ac:dyDescent="0.25">
      <c r="B224" s="27"/>
      <c r="C224" s="28"/>
      <c r="D224" s="27" t="s">
        <v>84</v>
      </c>
      <c r="E224" s="29"/>
      <c r="F224" s="61"/>
      <c r="G224" s="60"/>
      <c r="H224" s="61"/>
      <c r="I224" s="60"/>
      <c r="J224" s="61"/>
      <c r="K224" s="60"/>
      <c r="L224" s="61"/>
      <c r="M224" s="60"/>
    </row>
    <row r="225" spans="2:13" x14ac:dyDescent="0.25">
      <c r="B225" s="27"/>
      <c r="C225" s="28"/>
      <c r="D225" s="27" t="s">
        <v>85</v>
      </c>
      <c r="E225" s="29"/>
      <c r="F225" s="61"/>
      <c r="G225" s="60"/>
      <c r="H225" s="61"/>
      <c r="I225" s="60"/>
      <c r="J225" s="61"/>
      <c r="K225" s="60"/>
      <c r="L225" s="61"/>
      <c r="M225" s="60"/>
    </row>
    <row r="226" spans="2:13" x14ac:dyDescent="0.25">
      <c r="B226" s="27"/>
      <c r="C226" s="28"/>
      <c r="D226" s="27" t="s">
        <v>88</v>
      </c>
      <c r="E226" s="29"/>
      <c r="F226" s="61"/>
      <c r="G226" s="60"/>
      <c r="H226" s="61"/>
      <c r="I226" s="60"/>
      <c r="J226" s="61"/>
      <c r="K226" s="60"/>
      <c r="L226" s="61"/>
      <c r="M226" s="60"/>
    </row>
    <row r="227" spans="2:13" x14ac:dyDescent="0.25">
      <c r="B227" s="27"/>
      <c r="C227" s="28"/>
      <c r="D227" s="27" t="s">
        <v>86</v>
      </c>
      <c r="E227" s="29"/>
      <c r="F227" s="61"/>
      <c r="G227" s="60"/>
      <c r="H227" s="61"/>
      <c r="I227" s="60"/>
      <c r="J227" s="61"/>
      <c r="K227" s="60"/>
      <c r="L227" s="61"/>
      <c r="M227" s="60"/>
    </row>
    <row r="228" spans="2:13" x14ac:dyDescent="0.25">
      <c r="B228" s="27"/>
      <c r="C228" s="28"/>
      <c r="D228" s="27" t="s">
        <v>87</v>
      </c>
      <c r="E228" s="29"/>
      <c r="F228" s="61"/>
      <c r="G228" s="60"/>
      <c r="H228" s="61"/>
      <c r="I228" s="60"/>
      <c r="J228" s="61"/>
      <c r="K228" s="60"/>
      <c r="L228" s="61"/>
      <c r="M228" s="60"/>
    </row>
    <row r="229" spans="2:13" x14ac:dyDescent="0.25">
      <c r="B229" s="27" t="s">
        <v>56</v>
      </c>
      <c r="C229" s="28"/>
      <c r="D229" s="27" t="s">
        <v>81</v>
      </c>
      <c r="E229" s="29"/>
      <c r="F229" s="61"/>
      <c r="G229" s="60"/>
      <c r="H229" s="61"/>
      <c r="I229" s="60"/>
      <c r="J229" s="61"/>
      <c r="K229" s="60"/>
      <c r="L229" s="61"/>
      <c r="M229" s="60"/>
    </row>
    <row r="230" spans="2:13" x14ac:dyDescent="0.25">
      <c r="B230" s="27"/>
      <c r="C230" s="28"/>
      <c r="D230" s="27" t="s">
        <v>82</v>
      </c>
      <c r="E230" s="29"/>
      <c r="F230" s="61"/>
      <c r="G230" s="60"/>
      <c r="H230" s="61"/>
      <c r="I230" s="60"/>
      <c r="J230" s="61"/>
      <c r="K230" s="60"/>
      <c r="L230" s="61"/>
      <c r="M230" s="60"/>
    </row>
    <row r="231" spans="2:13" x14ac:dyDescent="0.25">
      <c r="B231" s="27"/>
      <c r="C231" s="28"/>
      <c r="D231" s="27" t="s">
        <v>83</v>
      </c>
      <c r="E231" s="29"/>
      <c r="F231" s="61"/>
      <c r="G231" s="60"/>
      <c r="H231" s="61"/>
      <c r="I231" s="60"/>
      <c r="J231" s="61"/>
      <c r="K231" s="60"/>
      <c r="L231" s="61"/>
      <c r="M231" s="60"/>
    </row>
    <row r="232" spans="2:13" x14ac:dyDescent="0.25">
      <c r="B232" s="27"/>
      <c r="C232" s="28"/>
      <c r="D232" s="27" t="s">
        <v>88</v>
      </c>
      <c r="E232" s="29"/>
      <c r="F232" s="61"/>
      <c r="G232" s="60"/>
      <c r="H232" s="61"/>
      <c r="I232" s="60"/>
      <c r="J232" s="61"/>
      <c r="K232" s="60"/>
      <c r="L232" s="61"/>
      <c r="M232" s="60"/>
    </row>
    <row r="233" spans="2:13" x14ac:dyDescent="0.25">
      <c r="B233" s="27"/>
      <c r="C233" s="28"/>
      <c r="D233" s="27" t="s">
        <v>86</v>
      </c>
      <c r="E233" s="29"/>
      <c r="F233" s="61"/>
      <c r="G233" s="60"/>
      <c r="H233" s="61"/>
      <c r="I233" s="60"/>
      <c r="J233" s="61"/>
      <c r="K233" s="60"/>
      <c r="L233" s="61"/>
      <c r="M233" s="60"/>
    </row>
    <row r="234" spans="2:13" x14ac:dyDescent="0.25">
      <c r="B234" s="27"/>
      <c r="C234" s="28"/>
      <c r="D234" s="27" t="s">
        <v>87</v>
      </c>
      <c r="E234" s="29"/>
      <c r="F234" s="61"/>
      <c r="G234" s="60"/>
      <c r="H234" s="61"/>
      <c r="I234" s="60"/>
      <c r="J234" s="61"/>
      <c r="K234" s="60"/>
      <c r="L234" s="61"/>
      <c r="M234" s="60"/>
    </row>
    <row r="235" spans="2:13" x14ac:dyDescent="0.25">
      <c r="B235" s="27"/>
      <c r="C235" s="28"/>
      <c r="D235" s="27" t="s">
        <v>89</v>
      </c>
      <c r="E235" s="29"/>
      <c r="F235" s="61"/>
      <c r="G235" s="60"/>
      <c r="H235" s="61"/>
      <c r="I235" s="60"/>
      <c r="J235" s="61"/>
      <c r="K235" s="60"/>
      <c r="L235" s="61"/>
      <c r="M235" s="60"/>
    </row>
    <row r="236" spans="2:13" x14ac:dyDescent="0.25">
      <c r="B236" s="27" t="s">
        <v>90</v>
      </c>
      <c r="C236" s="28"/>
      <c r="D236" s="27" t="s">
        <v>81</v>
      </c>
      <c r="E236" s="29"/>
      <c r="F236" s="61"/>
      <c r="G236" s="60"/>
      <c r="H236" s="61"/>
      <c r="I236" s="60"/>
      <c r="J236" s="61"/>
      <c r="K236" s="60"/>
      <c r="L236" s="61"/>
      <c r="M236" s="60"/>
    </row>
    <row r="237" spans="2:13" x14ac:dyDescent="0.25">
      <c r="B237" s="27" t="s">
        <v>91</v>
      </c>
      <c r="C237" s="28"/>
      <c r="D237" s="27" t="s">
        <v>83</v>
      </c>
      <c r="E237" s="29"/>
      <c r="F237" s="61"/>
      <c r="G237" s="60"/>
      <c r="H237" s="61"/>
      <c r="I237" s="60"/>
      <c r="J237" s="61"/>
      <c r="K237" s="60"/>
      <c r="L237" s="61"/>
      <c r="M237" s="60"/>
    </row>
    <row r="238" spans="2:13" x14ac:dyDescent="0.25">
      <c r="B238" s="27"/>
      <c r="C238" s="28"/>
      <c r="D238" s="27" t="s">
        <v>87</v>
      </c>
      <c r="E238" s="29"/>
      <c r="F238" s="61"/>
      <c r="G238" s="60"/>
      <c r="H238" s="61"/>
      <c r="I238" s="60"/>
      <c r="J238" s="61"/>
      <c r="K238" s="60"/>
      <c r="L238" s="61"/>
      <c r="M238" s="60"/>
    </row>
    <row r="239" spans="2:13" x14ac:dyDescent="0.25">
      <c r="B239" s="30" t="s">
        <v>12</v>
      </c>
      <c r="C239" s="28"/>
      <c r="D239" s="28"/>
      <c r="E239" s="29"/>
      <c r="F239" s="155"/>
      <c r="G239" s="156"/>
      <c r="H239" s="155"/>
      <c r="I239" s="156"/>
      <c r="J239" s="155"/>
      <c r="K239" s="156"/>
      <c r="L239" s="155"/>
      <c r="M239" s="156"/>
    </row>
    <row r="240" spans="2:13" x14ac:dyDescent="0.25">
      <c r="B240" s="25" t="s">
        <v>95</v>
      </c>
      <c r="C240" s="28"/>
      <c r="D240" s="28"/>
      <c r="E240" s="28"/>
      <c r="F240" s="32"/>
      <c r="G240" s="32"/>
      <c r="H240" s="32"/>
      <c r="I240" s="32"/>
      <c r="J240" s="32"/>
      <c r="K240" s="31"/>
      <c r="L240" s="32"/>
      <c r="M240" s="31"/>
    </row>
    <row r="241" spans="2:13" x14ac:dyDescent="0.25">
      <c r="B241" s="27" t="s">
        <v>54</v>
      </c>
      <c r="C241" s="28"/>
      <c r="D241" s="27" t="s">
        <v>96</v>
      </c>
      <c r="E241" s="29"/>
      <c r="F241" s="61"/>
      <c r="G241" s="60"/>
      <c r="H241" s="61"/>
      <c r="I241" s="60"/>
      <c r="J241" s="61"/>
      <c r="K241" s="60"/>
      <c r="L241" s="61"/>
      <c r="M241" s="60"/>
    </row>
    <row r="242" spans="2:13" x14ac:dyDescent="0.25">
      <c r="B242" s="27"/>
      <c r="C242" s="28"/>
      <c r="D242" s="27" t="s">
        <v>80</v>
      </c>
      <c r="E242" s="29"/>
      <c r="F242" s="61"/>
      <c r="G242" s="60"/>
      <c r="H242" s="61"/>
      <c r="I242" s="60"/>
      <c r="J242" s="61"/>
      <c r="K242" s="60"/>
      <c r="L242" s="61"/>
      <c r="M242" s="60"/>
    </row>
    <row r="243" spans="2:13" x14ac:dyDescent="0.25">
      <c r="B243" s="27"/>
      <c r="C243" s="28"/>
      <c r="D243" s="27" t="s">
        <v>81</v>
      </c>
      <c r="E243" s="29"/>
      <c r="F243" s="61"/>
      <c r="G243" s="60"/>
      <c r="H243" s="61"/>
      <c r="I243" s="60"/>
      <c r="J243" s="61"/>
      <c r="K243" s="60"/>
      <c r="L243" s="61"/>
      <c r="M243" s="60"/>
    </row>
    <row r="244" spans="2:13" x14ac:dyDescent="0.25">
      <c r="B244" s="27"/>
      <c r="C244" s="28"/>
      <c r="D244" s="27" t="s">
        <v>82</v>
      </c>
      <c r="E244" s="29"/>
      <c r="F244" s="61"/>
      <c r="G244" s="60"/>
      <c r="H244" s="61"/>
      <c r="I244" s="60"/>
      <c r="J244" s="61"/>
      <c r="K244" s="60"/>
      <c r="L244" s="61"/>
      <c r="M244" s="60"/>
    </row>
    <row r="245" spans="2:13" x14ac:dyDescent="0.25">
      <c r="B245" s="27"/>
      <c r="C245" s="28"/>
      <c r="D245" s="27" t="s">
        <v>83</v>
      </c>
      <c r="E245" s="29"/>
      <c r="F245" s="61"/>
      <c r="G245" s="60"/>
      <c r="H245" s="61"/>
      <c r="I245" s="60"/>
      <c r="J245" s="61"/>
      <c r="K245" s="60"/>
      <c r="L245" s="61"/>
      <c r="M245" s="60"/>
    </row>
    <row r="246" spans="2:13" x14ac:dyDescent="0.25">
      <c r="B246" s="27"/>
      <c r="C246" s="28"/>
      <c r="D246" s="27" t="s">
        <v>88</v>
      </c>
      <c r="E246" s="29"/>
      <c r="F246" s="61"/>
      <c r="G246" s="60"/>
      <c r="H246" s="61"/>
      <c r="I246" s="60"/>
      <c r="J246" s="61"/>
      <c r="K246" s="60"/>
      <c r="L246" s="61"/>
      <c r="M246" s="60"/>
    </row>
    <row r="247" spans="2:13" x14ac:dyDescent="0.25">
      <c r="B247" s="30" t="s">
        <v>12</v>
      </c>
      <c r="C247" s="28"/>
      <c r="D247" s="28"/>
      <c r="E247" s="29"/>
      <c r="F247" s="155"/>
      <c r="G247" s="156"/>
      <c r="H247" s="155"/>
      <c r="I247" s="156"/>
      <c r="J247" s="155"/>
      <c r="K247" s="156"/>
      <c r="L247" s="155"/>
      <c r="M247" s="156"/>
    </row>
  </sheetData>
  <mergeCells count="254">
    <mergeCell ref="J80:K80"/>
    <mergeCell ref="L80:M80"/>
    <mergeCell ref="N80:O80"/>
    <mergeCell ref="J75:K75"/>
    <mergeCell ref="L75:M75"/>
    <mergeCell ref="N75:O75"/>
    <mergeCell ref="J77:K77"/>
    <mergeCell ref="L77:M77"/>
    <mergeCell ref="N77:O77"/>
    <mergeCell ref="J79:K79"/>
    <mergeCell ref="L79:M79"/>
    <mergeCell ref="N79:O79"/>
    <mergeCell ref="N52:O52"/>
    <mergeCell ref="L52:M52"/>
    <mergeCell ref="J52:K52"/>
    <mergeCell ref="N41:O41"/>
    <mergeCell ref="L41:M41"/>
    <mergeCell ref="J41:K41"/>
    <mergeCell ref="N25:O25"/>
    <mergeCell ref="L25:M25"/>
    <mergeCell ref="J25:K25"/>
    <mergeCell ref="L48:M48"/>
    <mergeCell ref="J48:K48"/>
    <mergeCell ref="N48:O48"/>
    <mergeCell ref="J50:K50"/>
    <mergeCell ref="L50:M50"/>
    <mergeCell ref="N50:O50"/>
    <mergeCell ref="J26:K26"/>
    <mergeCell ref="L26:M26"/>
    <mergeCell ref="N26:O26"/>
    <mergeCell ref="J30:K30"/>
    <mergeCell ref="L30:M30"/>
    <mergeCell ref="N30:O30"/>
    <mergeCell ref="J43:K43"/>
    <mergeCell ref="L43:M43"/>
    <mergeCell ref="N43:O43"/>
    <mergeCell ref="J71:K71"/>
    <mergeCell ref="J73:K73"/>
    <mergeCell ref="J74:K74"/>
    <mergeCell ref="J70:K70"/>
    <mergeCell ref="J76:K76"/>
    <mergeCell ref="J78:K78"/>
    <mergeCell ref="J72:K72"/>
    <mergeCell ref="L62:M62"/>
    <mergeCell ref="N62:O62"/>
    <mergeCell ref="J64:K64"/>
    <mergeCell ref="L64:M64"/>
    <mergeCell ref="N64:O64"/>
    <mergeCell ref="J66:K66"/>
    <mergeCell ref="L66:M66"/>
    <mergeCell ref="N66:O66"/>
    <mergeCell ref="J68:K68"/>
    <mergeCell ref="L68:M68"/>
    <mergeCell ref="N68:O68"/>
    <mergeCell ref="J84:K84"/>
    <mergeCell ref="L84:M84"/>
    <mergeCell ref="N84:O84"/>
    <mergeCell ref="C19:I19"/>
    <mergeCell ref="J19:K19"/>
    <mergeCell ref="L19:M19"/>
    <mergeCell ref="N19:O19"/>
    <mergeCell ref="J83:K83"/>
    <mergeCell ref="L83:M83"/>
    <mergeCell ref="N83:O83"/>
    <mergeCell ref="C24:I24"/>
    <mergeCell ref="J24:K24"/>
    <mergeCell ref="L24:M24"/>
    <mergeCell ref="N24:O24"/>
    <mergeCell ref="C22:I22"/>
    <mergeCell ref="J22:K22"/>
    <mergeCell ref="N22:O22"/>
    <mergeCell ref="C23:I23"/>
    <mergeCell ref="J23:K23"/>
    <mergeCell ref="L23:M23"/>
    <mergeCell ref="N23:O23"/>
    <mergeCell ref="L22:M22"/>
    <mergeCell ref="N37:O37"/>
    <mergeCell ref="J56:K56"/>
    <mergeCell ref="N4:O5"/>
    <mergeCell ref="J6:K6"/>
    <mergeCell ref="L6:M6"/>
    <mergeCell ref="N6:O6"/>
    <mergeCell ref="C4:I6"/>
    <mergeCell ref="J8:K8"/>
    <mergeCell ref="L8:M8"/>
    <mergeCell ref="N8:O8"/>
    <mergeCell ref="J9:K9"/>
    <mergeCell ref="L9:M9"/>
    <mergeCell ref="N9:O9"/>
    <mergeCell ref="N7:O7"/>
    <mergeCell ref="J21:K21"/>
    <mergeCell ref="L21:M21"/>
    <mergeCell ref="J13:K13"/>
    <mergeCell ref="L13:M13"/>
    <mergeCell ref="C21:I21"/>
    <mergeCell ref="J16:K16"/>
    <mergeCell ref="L16:M16"/>
    <mergeCell ref="C16:I16"/>
    <mergeCell ref="N20:O20"/>
    <mergeCell ref="N21:O21"/>
    <mergeCell ref="N18:O18"/>
    <mergeCell ref="N17:O17"/>
    <mergeCell ref="N16:O16"/>
    <mergeCell ref="N15:O15"/>
    <mergeCell ref="N14:O14"/>
    <mergeCell ref="B4:B6"/>
    <mergeCell ref="J4:K5"/>
    <mergeCell ref="L4:M5"/>
    <mergeCell ref="J15:K15"/>
    <mergeCell ref="L15:M15"/>
    <mergeCell ref="J7:K7"/>
    <mergeCell ref="L7:M7"/>
    <mergeCell ref="J11:K11"/>
    <mergeCell ref="L11:M11"/>
    <mergeCell ref="C7:I7"/>
    <mergeCell ref="C11:I11"/>
    <mergeCell ref="C15:I15"/>
    <mergeCell ref="J12:K12"/>
    <mergeCell ref="L12:M12"/>
    <mergeCell ref="J10:K10"/>
    <mergeCell ref="L10:M10"/>
    <mergeCell ref="C13:I13"/>
    <mergeCell ref="J14:K14"/>
    <mergeCell ref="L14:M14"/>
    <mergeCell ref="C12:I12"/>
    <mergeCell ref="C14:I14"/>
    <mergeCell ref="F239:G239"/>
    <mergeCell ref="F247:G247"/>
    <mergeCell ref="C86:I86"/>
    <mergeCell ref="B209:C212"/>
    <mergeCell ref="D209:E211"/>
    <mergeCell ref="F209:G210"/>
    <mergeCell ref="D212:E212"/>
    <mergeCell ref="F212:G212"/>
    <mergeCell ref="J86:K86"/>
    <mergeCell ref="F211:G211"/>
    <mergeCell ref="H211:I211"/>
    <mergeCell ref="B136:C139"/>
    <mergeCell ref="D136:E139"/>
    <mergeCell ref="F136:G136"/>
    <mergeCell ref="F137:G137"/>
    <mergeCell ref="F138:G138"/>
    <mergeCell ref="F139:G139"/>
    <mergeCell ref="H136:I136"/>
    <mergeCell ref="H137:I137"/>
    <mergeCell ref="H138:I138"/>
    <mergeCell ref="H139:I139"/>
    <mergeCell ref="L86:M86"/>
    <mergeCell ref="N86:O86"/>
    <mergeCell ref="B90:C93"/>
    <mergeCell ref="C85:I85"/>
    <mergeCell ref="J85:K85"/>
    <mergeCell ref="L85:M85"/>
    <mergeCell ref="D90:E93"/>
    <mergeCell ref="F90:H90"/>
    <mergeCell ref="I90:K90"/>
    <mergeCell ref="F91:H91"/>
    <mergeCell ref="I91:K91"/>
    <mergeCell ref="N85:O85"/>
    <mergeCell ref="N11:O11"/>
    <mergeCell ref="J20:K20"/>
    <mergeCell ref="L20:M20"/>
    <mergeCell ref="C20:I20"/>
    <mergeCell ref="J17:K17"/>
    <mergeCell ref="L17:M17"/>
    <mergeCell ref="J18:K18"/>
    <mergeCell ref="L18:M18"/>
    <mergeCell ref="N10:O10"/>
    <mergeCell ref="N13:O13"/>
    <mergeCell ref="C17:I17"/>
    <mergeCell ref="C18:I18"/>
    <mergeCell ref="N12:O12"/>
    <mergeCell ref="L211:M211"/>
    <mergeCell ref="L212:M212"/>
    <mergeCell ref="L239:M239"/>
    <mergeCell ref="L247:M247"/>
    <mergeCell ref="L90:N90"/>
    <mergeCell ref="L91:N91"/>
    <mergeCell ref="L209:M210"/>
    <mergeCell ref="H247:I247"/>
    <mergeCell ref="J247:K247"/>
    <mergeCell ref="J136:K136"/>
    <mergeCell ref="J137:K137"/>
    <mergeCell ref="J138:K138"/>
    <mergeCell ref="J139:K139"/>
    <mergeCell ref="H209:I210"/>
    <mergeCell ref="H212:I212"/>
    <mergeCell ref="J209:K210"/>
    <mergeCell ref="J211:K211"/>
    <mergeCell ref="J212:K212"/>
    <mergeCell ref="H239:I239"/>
    <mergeCell ref="J239:K239"/>
    <mergeCell ref="J37:K37"/>
    <mergeCell ref="L37:M37"/>
    <mergeCell ref="J27:K27"/>
    <mergeCell ref="J28:K28"/>
    <mergeCell ref="J29:K29"/>
    <mergeCell ref="J31:K31"/>
    <mergeCell ref="J32:K32"/>
    <mergeCell ref="J33:K33"/>
    <mergeCell ref="J34:K34"/>
    <mergeCell ref="J36:K36"/>
    <mergeCell ref="J35:K35"/>
    <mergeCell ref="L27:M27"/>
    <mergeCell ref="L28:M28"/>
    <mergeCell ref="L29:M29"/>
    <mergeCell ref="L31:M31"/>
    <mergeCell ref="L32:M32"/>
    <mergeCell ref="L33:M33"/>
    <mergeCell ref="L34:M34"/>
    <mergeCell ref="L35:M35"/>
    <mergeCell ref="L36:M36"/>
    <mergeCell ref="N27:O27"/>
    <mergeCell ref="N28:O28"/>
    <mergeCell ref="N29:O29"/>
    <mergeCell ref="N31:O31"/>
    <mergeCell ref="N32:O32"/>
    <mergeCell ref="N33:O33"/>
    <mergeCell ref="N34:O34"/>
    <mergeCell ref="N35:O35"/>
    <mergeCell ref="N36:O36"/>
    <mergeCell ref="J38:K38"/>
    <mergeCell ref="J39:K39"/>
    <mergeCell ref="J40:K40"/>
    <mergeCell ref="J42:K42"/>
    <mergeCell ref="J44:K44"/>
    <mergeCell ref="J45:K45"/>
    <mergeCell ref="J46:K46"/>
    <mergeCell ref="J47:K47"/>
    <mergeCell ref="J49:K49"/>
    <mergeCell ref="J82:K82"/>
    <mergeCell ref="L82:M82"/>
    <mergeCell ref="N82:O82"/>
    <mergeCell ref="J51:K51"/>
    <mergeCell ref="J53:K53"/>
    <mergeCell ref="J54:K54"/>
    <mergeCell ref="J55:K55"/>
    <mergeCell ref="J57:K57"/>
    <mergeCell ref="J58:K58"/>
    <mergeCell ref="J60:K60"/>
    <mergeCell ref="J61:K61"/>
    <mergeCell ref="J63:K63"/>
    <mergeCell ref="L56:M56"/>
    <mergeCell ref="N56:O56"/>
    <mergeCell ref="J59:K59"/>
    <mergeCell ref="L59:M59"/>
    <mergeCell ref="N59:O59"/>
    <mergeCell ref="J62:K62"/>
    <mergeCell ref="N81:O81"/>
    <mergeCell ref="L81:M81"/>
    <mergeCell ref="J81:K81"/>
    <mergeCell ref="J65:K65"/>
    <mergeCell ref="J67:K67"/>
    <mergeCell ref="J69:K69"/>
  </mergeCells>
  <phoneticPr fontId="11" type="noConversion"/>
  <conditionalFormatting sqref="J21:O21 J7:O12 J14:O18 J25:O25 J28 J29:K36 J27:K27 J26:M26 J37:O69 J71:O71 L70:O70 J75:O81 L72:O74">
    <cfRule type="cellIs" dxfId="26" priority="39" operator="greaterThan">
      <formula>0</formula>
    </cfRule>
  </conditionalFormatting>
  <conditionalFormatting sqref="F94:K119 F132:K133 F122:K130">
    <cfRule type="cellIs" dxfId="25" priority="38" operator="greaterThan">
      <formula>0</formula>
    </cfRule>
  </conditionalFormatting>
  <conditionalFormatting sqref="F140:K206">
    <cfRule type="cellIs" dxfId="24" priority="37" operator="greaterThan">
      <formula>0</formula>
    </cfRule>
  </conditionalFormatting>
  <conditionalFormatting sqref="F213:K229 F231:K238">
    <cfRule type="cellIs" dxfId="23" priority="36" operator="greaterThan">
      <formula>0</formula>
    </cfRule>
  </conditionalFormatting>
  <conditionalFormatting sqref="F241:K246">
    <cfRule type="cellIs" dxfId="22" priority="35" operator="greaterThan">
      <formula>0</formula>
    </cfRule>
  </conditionalFormatting>
  <conditionalFormatting sqref="L94:N119 L132:N133 L122:N130">
    <cfRule type="cellIs" dxfId="21" priority="34" operator="greaterThan">
      <formula>0</formula>
    </cfRule>
  </conditionalFormatting>
  <conditionalFormatting sqref="F131:K131">
    <cfRule type="cellIs" dxfId="20" priority="32" operator="greaterThan">
      <formula>0</formula>
    </cfRule>
  </conditionalFormatting>
  <conditionalFormatting sqref="L131:N131">
    <cfRule type="cellIs" dxfId="19" priority="31" operator="greaterThan">
      <formula>0</formula>
    </cfRule>
  </conditionalFormatting>
  <conditionalFormatting sqref="F120:K121">
    <cfRule type="cellIs" dxfId="18" priority="29" operator="greaterThan">
      <formula>0</formula>
    </cfRule>
  </conditionalFormatting>
  <conditionalFormatting sqref="L120:N121">
    <cfRule type="cellIs" dxfId="17" priority="28" operator="greaterThan">
      <formula>0</formula>
    </cfRule>
  </conditionalFormatting>
  <conditionalFormatting sqref="L213:M229 L231:M238">
    <cfRule type="cellIs" dxfId="16" priority="26" operator="greaterThan">
      <formula>0</formula>
    </cfRule>
  </conditionalFormatting>
  <conditionalFormatting sqref="L241:M246">
    <cfRule type="cellIs" dxfId="15" priority="25" operator="greaterThan">
      <formula>0</formula>
    </cfRule>
  </conditionalFormatting>
  <conditionalFormatting sqref="J85:O85">
    <cfRule type="cellIs" dxfId="14" priority="24" operator="greaterThan">
      <formula>0</formula>
    </cfRule>
  </conditionalFormatting>
  <conditionalFormatting sqref="J19:O20">
    <cfRule type="cellIs" dxfId="13" priority="22" operator="greaterThan">
      <formula>0</formula>
    </cfRule>
  </conditionalFormatting>
  <conditionalFormatting sqref="J24:O24">
    <cfRule type="cellIs" dxfId="12" priority="21" operator="greaterThan">
      <formula>0</formula>
    </cfRule>
  </conditionalFormatting>
  <conditionalFormatting sqref="J22:O23">
    <cfRule type="cellIs" dxfId="11" priority="20" operator="greaterThan">
      <formula>0</formula>
    </cfRule>
  </conditionalFormatting>
  <conditionalFormatting sqref="J83:O84">
    <cfRule type="cellIs" dxfId="10" priority="19" operator="greaterThan">
      <formula>0</formula>
    </cfRule>
  </conditionalFormatting>
  <conditionalFormatting sqref="F230:K230">
    <cfRule type="cellIs" dxfId="9" priority="18" operator="greaterThan">
      <formula>0</formula>
    </cfRule>
  </conditionalFormatting>
  <conditionalFormatting sqref="L230:M230">
    <cfRule type="cellIs" dxfId="8" priority="17" operator="greaterThan">
      <formula>0</formula>
    </cfRule>
  </conditionalFormatting>
  <conditionalFormatting sqref="J13:O13">
    <cfRule type="cellIs" dxfId="7" priority="16" operator="greaterThan">
      <formula>0</formula>
    </cfRule>
  </conditionalFormatting>
  <conditionalFormatting sqref="L27:M36">
    <cfRule type="cellIs" dxfId="6" priority="7" operator="greaterThan">
      <formula>0</formula>
    </cfRule>
  </conditionalFormatting>
  <conditionalFormatting sqref="N26:O36">
    <cfRule type="cellIs" dxfId="5" priority="6" operator="greaterThan">
      <formula>0</formula>
    </cfRule>
  </conditionalFormatting>
  <conditionalFormatting sqref="J73:K73">
    <cfRule type="cellIs" dxfId="4" priority="5" operator="greaterThan">
      <formula>0</formula>
    </cfRule>
  </conditionalFormatting>
  <conditionalFormatting sqref="J74:K74">
    <cfRule type="cellIs" dxfId="3" priority="4" operator="greaterThan">
      <formula>0</formula>
    </cfRule>
  </conditionalFormatting>
  <conditionalFormatting sqref="J70:K70">
    <cfRule type="cellIs" dxfId="2" priority="3" operator="greaterThan">
      <formula>0</formula>
    </cfRule>
  </conditionalFormatting>
  <conditionalFormatting sqref="J72:K72">
    <cfRule type="cellIs" dxfId="1" priority="2" operator="greaterThan">
      <formula>0</formula>
    </cfRule>
  </conditionalFormatting>
  <conditionalFormatting sqref="J82:O82">
    <cfRule type="cellIs" dxfId="0" priority="1" operator="greaterThan">
      <formula>0</formula>
    </cfRule>
  </conditionalFormatting>
  <pageMargins left="0.43307086614173229" right="0.23622047244094491" top="1.3385826771653544" bottom="0.74803149606299213" header="0.31496062992125984" footer="0.31496062992125984"/>
  <pageSetup paperSize="9" scale="89" fitToHeight="0" orientation="portrait" r:id="rId1"/>
  <headerFooter>
    <oddHeader>&amp;A</oddHeader>
    <oddFooter>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92B160-1E00-4326-AC47-48671235E46E}">
  <sheetPr>
    <pageSetUpPr fitToPage="1"/>
  </sheetPr>
  <dimension ref="A1:D51"/>
  <sheetViews>
    <sheetView zoomScaleNormal="100" workbookViewId="0">
      <selection activeCell="D41" sqref="D41"/>
    </sheetView>
  </sheetViews>
  <sheetFormatPr defaultRowHeight="15" x14ac:dyDescent="0.25"/>
  <cols>
    <col min="1" max="1" width="2.85546875" customWidth="1"/>
    <col min="2" max="2" width="17.28515625" customWidth="1"/>
    <col min="3" max="3" width="10.7109375" customWidth="1"/>
    <col min="4" max="4" width="63.5703125" customWidth="1"/>
  </cols>
  <sheetData>
    <row r="1" spans="1:4" ht="18.75" x14ac:dyDescent="0.3">
      <c r="A1" s="1" t="s">
        <v>97</v>
      </c>
      <c r="B1" s="1"/>
      <c r="C1" s="1"/>
      <c r="D1" s="1"/>
    </row>
    <row r="3" spans="1:4" x14ac:dyDescent="0.25">
      <c r="B3" s="35" t="s">
        <v>98</v>
      </c>
      <c r="C3" s="26" t="s">
        <v>99</v>
      </c>
      <c r="D3" s="18" t="s">
        <v>100</v>
      </c>
    </row>
    <row r="4" spans="1:4" x14ac:dyDescent="0.25">
      <c r="B4" s="36"/>
      <c r="C4" s="26" t="s">
        <v>101</v>
      </c>
      <c r="D4" s="18" t="s">
        <v>102</v>
      </c>
    </row>
    <row r="5" spans="1:4" x14ac:dyDescent="0.25">
      <c r="B5" s="36"/>
      <c r="C5" s="26" t="s">
        <v>103</v>
      </c>
      <c r="D5" s="18" t="s">
        <v>104</v>
      </c>
    </row>
    <row r="6" spans="1:4" x14ac:dyDescent="0.25">
      <c r="B6" s="36"/>
      <c r="C6" s="26" t="s">
        <v>105</v>
      </c>
      <c r="D6" s="18" t="s">
        <v>106</v>
      </c>
    </row>
    <row r="7" spans="1:4" x14ac:dyDescent="0.25">
      <c r="B7" s="36"/>
      <c r="C7" s="26" t="s">
        <v>107</v>
      </c>
      <c r="D7" s="18" t="s">
        <v>108</v>
      </c>
    </row>
    <row r="8" spans="1:4" x14ac:dyDescent="0.25">
      <c r="B8" s="36"/>
      <c r="C8" s="26" t="s">
        <v>109</v>
      </c>
      <c r="D8" s="18" t="s">
        <v>110</v>
      </c>
    </row>
    <row r="9" spans="1:4" x14ac:dyDescent="0.25">
      <c r="B9" s="36"/>
      <c r="C9" s="26" t="s">
        <v>111</v>
      </c>
      <c r="D9" s="18" t="s">
        <v>112</v>
      </c>
    </row>
    <row r="10" spans="1:4" x14ac:dyDescent="0.25">
      <c r="B10" s="36"/>
      <c r="C10" s="26" t="s">
        <v>113</v>
      </c>
      <c r="D10" s="18" t="s">
        <v>114</v>
      </c>
    </row>
    <row r="11" spans="1:4" x14ac:dyDescent="0.25">
      <c r="B11" s="36"/>
      <c r="C11" s="26" t="s">
        <v>115</v>
      </c>
      <c r="D11" s="18" t="s">
        <v>116</v>
      </c>
    </row>
    <row r="12" spans="1:4" x14ac:dyDescent="0.25">
      <c r="B12" s="36"/>
      <c r="C12" s="26" t="s">
        <v>117</v>
      </c>
      <c r="D12" s="18" t="s">
        <v>118</v>
      </c>
    </row>
    <row r="13" spans="1:4" x14ac:dyDescent="0.25">
      <c r="B13" s="36"/>
      <c r="C13" s="26" t="s">
        <v>208</v>
      </c>
      <c r="D13" s="18" t="s">
        <v>209</v>
      </c>
    </row>
    <row r="14" spans="1:4" x14ac:dyDescent="0.25">
      <c r="B14" s="35" t="s">
        <v>119</v>
      </c>
      <c r="C14" s="26" t="s">
        <v>111</v>
      </c>
      <c r="D14" s="18" t="s">
        <v>120</v>
      </c>
    </row>
    <row r="15" spans="1:4" x14ac:dyDescent="0.25">
      <c r="B15" s="36"/>
      <c r="C15" s="26" t="s">
        <v>121</v>
      </c>
      <c r="D15" s="18" t="s">
        <v>122</v>
      </c>
    </row>
    <row r="16" spans="1:4" x14ac:dyDescent="0.25">
      <c r="B16" s="36"/>
      <c r="C16" s="26" t="s">
        <v>123</v>
      </c>
      <c r="D16" s="18" t="s">
        <v>124</v>
      </c>
    </row>
    <row r="17" spans="2:4" x14ac:dyDescent="0.25">
      <c r="B17" s="36"/>
      <c r="C17" s="26" t="s">
        <v>125</v>
      </c>
      <c r="D17" s="18" t="s">
        <v>126</v>
      </c>
    </row>
    <row r="18" spans="2:4" x14ac:dyDescent="0.25">
      <c r="B18" s="36"/>
      <c r="C18" s="26" t="s">
        <v>127</v>
      </c>
      <c r="D18" s="18" t="s">
        <v>128</v>
      </c>
    </row>
    <row r="19" spans="2:4" x14ac:dyDescent="0.25">
      <c r="B19" s="36"/>
      <c r="C19" s="26" t="s">
        <v>129</v>
      </c>
      <c r="D19" s="18" t="s">
        <v>130</v>
      </c>
    </row>
    <row r="20" spans="2:4" x14ac:dyDescent="0.25">
      <c r="B20" s="36"/>
      <c r="C20" s="26" t="s">
        <v>55</v>
      </c>
      <c r="D20" s="18" t="s">
        <v>131</v>
      </c>
    </row>
    <row r="21" spans="2:4" x14ac:dyDescent="0.25">
      <c r="B21" s="36"/>
      <c r="C21" s="26" t="s">
        <v>132</v>
      </c>
      <c r="D21" s="18" t="s">
        <v>133</v>
      </c>
    </row>
    <row r="22" spans="2:4" x14ac:dyDescent="0.25">
      <c r="B22" s="36"/>
      <c r="C22" s="26" t="s">
        <v>134</v>
      </c>
      <c r="D22" s="18" t="s">
        <v>135</v>
      </c>
    </row>
    <row r="23" spans="2:4" x14ac:dyDescent="0.25">
      <c r="B23" s="36"/>
      <c r="C23" s="26" t="s">
        <v>136</v>
      </c>
      <c r="D23" s="18" t="s">
        <v>137</v>
      </c>
    </row>
    <row r="24" spans="2:4" x14ac:dyDescent="0.25">
      <c r="B24" s="36"/>
      <c r="C24" s="26" t="s">
        <v>210</v>
      </c>
      <c r="D24" s="18" t="s">
        <v>211</v>
      </c>
    </row>
    <row r="25" spans="2:4" x14ac:dyDescent="0.25">
      <c r="B25" s="36"/>
      <c r="C25" s="26" t="s">
        <v>138</v>
      </c>
      <c r="D25" s="18" t="s">
        <v>139</v>
      </c>
    </row>
    <row r="26" spans="2:4" x14ac:dyDescent="0.25">
      <c r="B26" s="36"/>
      <c r="C26" s="26" t="s">
        <v>140</v>
      </c>
      <c r="D26" s="18" t="s">
        <v>141</v>
      </c>
    </row>
    <row r="27" spans="2:4" x14ac:dyDescent="0.25">
      <c r="B27" s="36"/>
      <c r="C27" s="26" t="s">
        <v>142</v>
      </c>
      <c r="D27" s="18" t="s">
        <v>143</v>
      </c>
    </row>
    <row r="28" spans="2:4" x14ac:dyDescent="0.25">
      <c r="B28" s="36"/>
      <c r="C28" s="26" t="s">
        <v>144</v>
      </c>
      <c r="D28" s="18" t="s">
        <v>145</v>
      </c>
    </row>
    <row r="29" spans="2:4" x14ac:dyDescent="0.25">
      <c r="B29" s="36"/>
      <c r="C29" s="26" t="s">
        <v>146</v>
      </c>
      <c r="D29" s="18" t="s">
        <v>147</v>
      </c>
    </row>
    <row r="30" spans="2:4" x14ac:dyDescent="0.25">
      <c r="B30" s="36"/>
      <c r="C30" s="26" t="s">
        <v>148</v>
      </c>
      <c r="D30" s="18" t="s">
        <v>149</v>
      </c>
    </row>
    <row r="31" spans="2:4" x14ac:dyDescent="0.25">
      <c r="B31" s="36"/>
      <c r="C31" s="26" t="s">
        <v>150</v>
      </c>
      <c r="D31" s="18" t="s">
        <v>151</v>
      </c>
    </row>
    <row r="32" spans="2:4" x14ac:dyDescent="0.25">
      <c r="B32" s="36"/>
      <c r="C32" s="26" t="s">
        <v>152</v>
      </c>
      <c r="D32" s="18" t="s">
        <v>153</v>
      </c>
    </row>
    <row r="33" spans="2:4" x14ac:dyDescent="0.25">
      <c r="B33" s="36"/>
      <c r="C33" s="26" t="s">
        <v>154</v>
      </c>
      <c r="D33" s="18" t="s">
        <v>220</v>
      </c>
    </row>
    <row r="34" spans="2:4" x14ac:dyDescent="0.25">
      <c r="B34" s="36"/>
      <c r="C34" s="26" t="s">
        <v>155</v>
      </c>
      <c r="D34" s="18" t="s">
        <v>156</v>
      </c>
    </row>
    <row r="35" spans="2:4" x14ac:dyDescent="0.25">
      <c r="B35" s="36"/>
      <c r="C35" s="26" t="s">
        <v>157</v>
      </c>
      <c r="D35" s="18" t="s">
        <v>158</v>
      </c>
    </row>
    <row r="36" spans="2:4" x14ac:dyDescent="0.25">
      <c r="B36" s="36"/>
      <c r="C36" s="26" t="s">
        <v>159</v>
      </c>
      <c r="D36" s="18" t="s">
        <v>160</v>
      </c>
    </row>
    <row r="37" spans="2:4" x14ac:dyDescent="0.25">
      <c r="B37" s="36"/>
      <c r="C37" s="26" t="s">
        <v>161</v>
      </c>
      <c r="D37" s="18" t="s">
        <v>162</v>
      </c>
    </row>
    <row r="38" spans="2:4" x14ac:dyDescent="0.25">
      <c r="B38" s="36"/>
      <c r="C38" s="26" t="s">
        <v>163</v>
      </c>
      <c r="D38" s="18" t="s">
        <v>164</v>
      </c>
    </row>
    <row r="39" spans="2:4" x14ac:dyDescent="0.25">
      <c r="B39" s="35" t="s">
        <v>165</v>
      </c>
      <c r="C39" s="26" t="s">
        <v>166</v>
      </c>
      <c r="D39" s="18" t="s">
        <v>167</v>
      </c>
    </row>
    <row r="40" spans="2:4" x14ac:dyDescent="0.25">
      <c r="B40" s="36"/>
      <c r="C40" s="26" t="s">
        <v>168</v>
      </c>
      <c r="D40" s="18" t="s">
        <v>169</v>
      </c>
    </row>
    <row r="41" spans="2:4" x14ac:dyDescent="0.25">
      <c r="B41" s="36"/>
      <c r="C41" s="26" t="s">
        <v>170</v>
      </c>
      <c r="D41" s="18" t="s">
        <v>171</v>
      </c>
    </row>
    <row r="42" spans="2:4" x14ac:dyDescent="0.25">
      <c r="B42" s="37"/>
      <c r="C42" s="26" t="s">
        <v>172</v>
      </c>
      <c r="D42" s="18" t="s">
        <v>173</v>
      </c>
    </row>
    <row r="43" spans="2:4" x14ac:dyDescent="0.25">
      <c r="B43" s="35" t="s">
        <v>174</v>
      </c>
      <c r="C43" s="26" t="s">
        <v>175</v>
      </c>
      <c r="D43" s="18" t="s">
        <v>176</v>
      </c>
    </row>
    <row r="44" spans="2:4" x14ac:dyDescent="0.25">
      <c r="B44" s="36"/>
      <c r="C44" s="26" t="s">
        <v>177</v>
      </c>
      <c r="D44" s="18" t="s">
        <v>178</v>
      </c>
    </row>
    <row r="45" spans="2:4" x14ac:dyDescent="0.25">
      <c r="B45" s="36"/>
      <c r="C45" s="26" t="s">
        <v>179</v>
      </c>
      <c r="D45" s="18" t="s">
        <v>180</v>
      </c>
    </row>
    <row r="46" spans="2:4" x14ac:dyDescent="0.25">
      <c r="B46" s="37"/>
      <c r="C46" s="26" t="s">
        <v>181</v>
      </c>
      <c r="D46" s="18" t="s">
        <v>182</v>
      </c>
    </row>
    <row r="47" spans="2:4" x14ac:dyDescent="0.25">
      <c r="B47" s="35" t="s">
        <v>188</v>
      </c>
      <c r="C47" s="26" t="s">
        <v>192</v>
      </c>
      <c r="D47" s="18" t="s">
        <v>189</v>
      </c>
    </row>
    <row r="48" spans="2:4" x14ac:dyDescent="0.25">
      <c r="B48" s="36"/>
      <c r="C48" s="26" t="s">
        <v>191</v>
      </c>
      <c r="D48" s="18" t="s">
        <v>190</v>
      </c>
    </row>
    <row r="49" spans="2:4" x14ac:dyDescent="0.25">
      <c r="B49" s="36"/>
      <c r="C49" s="26" t="s">
        <v>194</v>
      </c>
      <c r="D49" s="18" t="s">
        <v>193</v>
      </c>
    </row>
    <row r="50" spans="2:4" x14ac:dyDescent="0.25">
      <c r="B50" s="36"/>
      <c r="C50" s="26" t="s">
        <v>196</v>
      </c>
      <c r="D50" s="18" t="s">
        <v>195</v>
      </c>
    </row>
    <row r="51" spans="2:4" x14ac:dyDescent="0.25">
      <c r="B51" s="37"/>
      <c r="C51" s="26"/>
      <c r="D51" s="18"/>
    </row>
  </sheetData>
  <pageMargins left="0.43307086614173229" right="0.23622047244094491" top="1.1417322834645669" bottom="0.74803149606299213" header="0.31496062992125984" footer="0.31496062992125984"/>
  <pageSetup paperSize="9" fitToHeight="0" orientation="portrait" r:id="rId1"/>
  <headerFooter>
    <oddHeader>&amp;A</oddHead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A2_Svislé konstrukce</vt:lpstr>
      <vt:lpstr>A2_Rekapitulace</vt:lpstr>
      <vt:lpstr>A2_Legenda</vt:lpstr>
      <vt:lpstr>'A2_Svislé konstrukce'!Názvy_tisku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Štefan Sivák</dc:creator>
  <cp:keywords/>
  <dc:description/>
  <cp:lastModifiedBy>Štefan Sivák</cp:lastModifiedBy>
  <cp:revision/>
  <cp:lastPrinted>2021-08-09T10:24:01Z</cp:lastPrinted>
  <dcterms:created xsi:type="dcterms:W3CDTF">2017-10-24T07:38:10Z</dcterms:created>
  <dcterms:modified xsi:type="dcterms:W3CDTF">2021-08-09T10:38:34Z</dcterms:modified>
  <cp:category/>
  <cp:contentStatus/>
</cp:coreProperties>
</file>